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941" firstSheet="3" activeTab="6"/>
  </bookViews>
  <sheets>
    <sheet name="清单人工费调整系数" sheetId="1" state="hidden" r:id="rId1"/>
    <sheet name="2008现行" sheetId="2" state="hidden" r:id="rId2"/>
    <sheet name="2008集中审批（工程量清单）(申报)" sheetId="3" state="hidden" r:id="rId3"/>
    <sheet name="2008集中审批（工程量清单）(附件1) " sheetId="4" r:id="rId4"/>
    <sheet name="2008集中审批（工程量清单 零星单价）(附件2)" sheetId="5" r:id="rId5"/>
    <sheet name="2008集中审批（2000定额）(申请)" sheetId="6" state="hidden" r:id="rId6"/>
    <sheet name="2008集中审批（2000定额）(建议)" sheetId="7" r:id="rId7"/>
    <sheet name="2008现行与申请比较（清单）" sheetId="8" state="hidden" r:id="rId8"/>
    <sheet name="2008年现行与申请比较（2000）" sheetId="9" state="hidden" r:id="rId9"/>
    <sheet name="实物量" sheetId="10" state="hidden" r:id="rId10"/>
  </sheets>
  <definedNames>
    <definedName name="_xlnm.Print_Area" localSheetId="6">'2008集中审批（2000定额）(建议)'!$A$1:$T$39</definedName>
    <definedName name="_xlnm.Print_Area" localSheetId="5">'2008集中审批（2000定额）(申请)'!$A$1:$N$39</definedName>
    <definedName name="_xlnm.Print_Area" localSheetId="4">'2008集中审批（工程量清单 零星单价）(附件2)'!$A$1:$R$39</definedName>
    <definedName name="_xlnm.Print_Area" localSheetId="3">'2008集中审批（工程量清单）(附件1) '!$A$1:$Y$39</definedName>
    <definedName name="_xlnm.Print_Area" localSheetId="2">'2008集中审批（工程量清单）(申报)'!$A$1:$R$39</definedName>
    <definedName name="_xlnm.Print_Area" localSheetId="8">'2008年现行与申请比较（2000）'!$A$1:$W$51</definedName>
    <definedName name="_xlnm.Print_Area" localSheetId="1">'2008现行'!$A$1:$U$28</definedName>
    <definedName name="_xlnm.Print_Area" localSheetId="7">'2008现行与申请比较（清单）'!$A$1:$AA$86</definedName>
    <definedName name="_xlnm.Print_Area" localSheetId="0">'清单人工费调整系数'!$A$1:$U$28</definedName>
    <definedName name="_xlnm.Print_Area" localSheetId="9">'实物量'!$A$1:$Q$50</definedName>
    <definedName name="_xlnm.Print_Titles" localSheetId="6">'2008集中审批（2000定额）(建议)'!$2:$3</definedName>
    <definedName name="_xlnm.Print_Titles" localSheetId="5">'2008集中审批（2000定额）(申请)'!$2:$3</definedName>
    <definedName name="_xlnm.Print_Titles" localSheetId="4">'2008集中审批（工程量清单 零星单价）(附件2)'!$2:$3</definedName>
    <definedName name="_xlnm.Print_Titles" localSheetId="3">'2008集中审批（工程量清单）(附件1) '!$2:$3</definedName>
    <definedName name="_xlnm.Print_Titles" localSheetId="2">'2008集中审批（工程量清单）(申报)'!$2:$3</definedName>
    <definedName name="_xlnm.Print_Titles" localSheetId="8">'2008年现行与申请比较（2000）'!$2:$4</definedName>
    <definedName name="_xlnm.Print_Titles" localSheetId="1">'2008现行'!$2:$4</definedName>
    <definedName name="_xlnm.Print_Titles" localSheetId="7">'2008现行与申请比较（清单）'!$2:$5</definedName>
    <definedName name="_xlnm.Print_Titles" localSheetId="0">'清单人工费调整系数'!$1:$4</definedName>
    <definedName name="_xlnm.Print_Titles" localSheetId="9">'实物量'!$2:$6</definedName>
    <definedName name="清单人工费调整系数">'清单人工费调整系数'!$A$4:$M$24</definedName>
  </definedNames>
  <calcPr fullCalcOnLoad="1"/>
</workbook>
</file>

<file path=xl/sharedStrings.xml><?xml version="1.0" encoding="utf-8"?>
<sst xmlns="http://schemas.openxmlformats.org/spreadsheetml/2006/main" count="916" uniqueCount="315">
  <si>
    <t>序号</t>
  </si>
  <si>
    <t xml:space="preserve">建筑、市政、园林、抹灰技工(元/工日) </t>
  </si>
  <si>
    <t xml:space="preserve">建筑、市政、园林、抹灰普工(元/工日) </t>
  </si>
  <si>
    <t xml:space="preserve">装饰细木工(元/工日) </t>
  </si>
  <si>
    <t xml:space="preserve">装饰其他技工(元/工日) </t>
  </si>
  <si>
    <t xml:space="preserve">装饰普工(元/工日) </t>
  </si>
  <si>
    <t>建筑工程</t>
  </si>
  <si>
    <t>装饰工程</t>
  </si>
  <si>
    <t>市政工程</t>
  </si>
  <si>
    <t>安装工程</t>
  </si>
  <si>
    <t xml:space="preserve"> 维修工程</t>
  </si>
  <si>
    <t>仿古园林工程</t>
  </si>
  <si>
    <t>"二OOO"计价定额</t>
  </si>
  <si>
    <t>批准文号</t>
  </si>
  <si>
    <t>执行时间</t>
  </si>
  <si>
    <t xml:space="preserve">安装普工\技工(元/工日) </t>
  </si>
  <si>
    <t>建筑、市政、园林、抹灰、措施项目</t>
  </si>
  <si>
    <r>
      <t>川建价发</t>
    </r>
    <r>
      <rPr>
        <sz val="10.5"/>
        <rFont val="Times New Roman"/>
        <family val="1"/>
      </rPr>
      <t>[2007]43</t>
    </r>
    <r>
      <rPr>
        <sz val="10.5"/>
        <rFont val="宋体"/>
        <family val="0"/>
      </rPr>
      <t>号</t>
    </r>
  </si>
  <si>
    <t>清单计价定额</t>
  </si>
  <si>
    <t>人工费调整幅度</t>
  </si>
  <si>
    <t>地区零星人工单价</t>
  </si>
  <si>
    <t>市、州名称</t>
  </si>
  <si>
    <t>文号</t>
  </si>
  <si>
    <t xml:space="preserve">装饰工程(抹灰工程除外) </t>
  </si>
  <si>
    <t>成都市区（青羊、锦江、金牛、武侯、成华及高新区）</t>
  </si>
  <si>
    <r>
      <t>川建价发</t>
    </r>
    <r>
      <rPr>
        <sz val="10.5"/>
        <rFont val="Times New Roman"/>
        <family val="1"/>
      </rPr>
      <t>[2007]42</t>
    </r>
    <r>
      <rPr>
        <sz val="10.5"/>
        <rFont val="宋体"/>
        <family val="0"/>
      </rPr>
      <t>号</t>
    </r>
  </si>
  <si>
    <t>成都市近郊区（龙泉、新都、双流、郫县、温江）</t>
  </si>
  <si>
    <t>成都市的其他区（市）、县</t>
  </si>
  <si>
    <t>绵阳市</t>
  </si>
  <si>
    <r>
      <t>川建价发</t>
    </r>
    <r>
      <rPr>
        <sz val="10.5"/>
        <rFont val="Times New Roman"/>
        <family val="1"/>
      </rPr>
      <t>[2008]5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</si>
  <si>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[2008]4</t>
    </r>
    <r>
      <rPr>
        <sz val="10.5"/>
        <rFont val="宋体"/>
        <family val="0"/>
      </rPr>
      <t>号</t>
    </r>
  </si>
  <si>
    <t>自贡市</t>
  </si>
  <si>
    <r>
      <t>川建价发</t>
    </r>
    <r>
      <rPr>
        <sz val="10.5"/>
        <rFont val="Times New Roman"/>
        <family val="1"/>
      </rPr>
      <t>[2007]26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</si>
  <si>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[2007]25</t>
    </r>
    <r>
      <rPr>
        <sz val="10.5"/>
        <rFont val="宋体"/>
        <family val="0"/>
      </rPr>
      <t>号</t>
    </r>
  </si>
  <si>
    <t>攀枝花市</t>
  </si>
  <si>
    <r>
      <t>川建价发</t>
    </r>
    <r>
      <rPr>
        <sz val="10.5"/>
        <rFont val="Times New Roman"/>
        <family val="1"/>
      </rPr>
      <t>[2007]9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</si>
  <si>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[]</t>
    </r>
    <r>
      <rPr>
        <sz val="10.5"/>
        <rFont val="宋体"/>
        <family val="0"/>
      </rPr>
      <t>号</t>
    </r>
  </si>
  <si>
    <t>德阳市</t>
  </si>
  <si>
    <r>
      <t>川建价发</t>
    </r>
    <r>
      <rPr>
        <sz val="10.5"/>
        <rFont val="Times New Roman"/>
        <family val="1"/>
      </rPr>
      <t>[2008]10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</si>
  <si>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[2008]9</t>
    </r>
    <r>
      <rPr>
        <sz val="10.5"/>
        <rFont val="宋体"/>
        <family val="0"/>
      </rPr>
      <t>号</t>
    </r>
  </si>
  <si>
    <t>泸州市</t>
  </si>
  <si>
    <r>
      <t>川建价发</t>
    </r>
    <r>
      <rPr>
        <sz val="10.5"/>
        <rFont val="Times New Roman"/>
        <family val="1"/>
      </rPr>
      <t>[2007]17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</si>
  <si>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[2007]18</t>
    </r>
    <r>
      <rPr>
        <sz val="10.5"/>
        <rFont val="宋体"/>
        <family val="0"/>
      </rPr>
      <t>号</t>
    </r>
  </si>
  <si>
    <t>广元市</t>
  </si>
  <si>
    <r>
      <t>川建价发</t>
    </r>
    <r>
      <rPr>
        <sz val="10.5"/>
        <rFont val="Times New Roman"/>
        <family val="1"/>
      </rPr>
      <t>[2007]41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</si>
  <si>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[2007]40</t>
    </r>
    <r>
      <rPr>
        <sz val="10.5"/>
        <rFont val="宋体"/>
        <family val="0"/>
      </rPr>
      <t>号</t>
    </r>
  </si>
  <si>
    <t>遂宁市</t>
  </si>
  <si>
    <t>内江市</t>
  </si>
  <si>
    <r>
      <t>川建价发</t>
    </r>
    <r>
      <rPr>
        <sz val="10.5"/>
        <rFont val="Times New Roman"/>
        <family val="1"/>
      </rPr>
      <t>[2007]54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</si>
  <si>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[2007]55</t>
    </r>
    <r>
      <rPr>
        <sz val="10.5"/>
        <rFont val="宋体"/>
        <family val="0"/>
      </rPr>
      <t>号</t>
    </r>
  </si>
  <si>
    <t>乐山市</t>
  </si>
  <si>
    <r>
      <t>川建价发</t>
    </r>
    <r>
      <rPr>
        <sz val="10.5"/>
        <rFont val="Times New Roman"/>
        <family val="1"/>
      </rPr>
      <t>[2007]61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</si>
  <si>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[2007]62</t>
    </r>
    <r>
      <rPr>
        <sz val="10.5"/>
        <rFont val="宋体"/>
        <family val="0"/>
      </rPr>
      <t>号</t>
    </r>
  </si>
  <si>
    <t>南充市</t>
  </si>
  <si>
    <r>
      <t>川建价发</t>
    </r>
    <r>
      <rPr>
        <sz val="10.5"/>
        <rFont val="Times New Roman"/>
        <family val="1"/>
      </rPr>
      <t>[2006]22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</si>
  <si>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[2006]21</t>
    </r>
    <r>
      <rPr>
        <sz val="10.5"/>
        <rFont val="宋体"/>
        <family val="0"/>
      </rPr>
      <t>号</t>
    </r>
  </si>
  <si>
    <t>宜宾市</t>
  </si>
  <si>
    <r>
      <t>川建价发</t>
    </r>
    <r>
      <rPr>
        <sz val="10.5"/>
        <rFont val="Times New Roman"/>
        <family val="1"/>
      </rPr>
      <t>[2007]51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</si>
  <si>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[2007]52</t>
    </r>
    <r>
      <rPr>
        <sz val="10.5"/>
        <rFont val="宋体"/>
        <family val="0"/>
      </rPr>
      <t>号</t>
    </r>
  </si>
  <si>
    <t>达州市</t>
  </si>
  <si>
    <r>
      <t>川建价发</t>
    </r>
    <r>
      <rPr>
        <sz val="10.5"/>
        <rFont val="Times New Roman"/>
        <family val="1"/>
      </rPr>
      <t>[2007]60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</si>
  <si>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[2007]59</t>
    </r>
    <r>
      <rPr>
        <sz val="10.5"/>
        <rFont val="宋体"/>
        <family val="0"/>
      </rPr>
      <t>号</t>
    </r>
  </si>
  <si>
    <t>雅安市</t>
  </si>
  <si>
    <r>
      <t>川建价发</t>
    </r>
    <r>
      <rPr>
        <sz val="10.5"/>
        <rFont val="Times New Roman"/>
        <family val="1"/>
      </rPr>
      <t>[2007]30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</si>
  <si>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[2007]31</t>
    </r>
    <r>
      <rPr>
        <sz val="10.5"/>
        <rFont val="宋体"/>
        <family val="0"/>
      </rPr>
      <t>号</t>
    </r>
  </si>
  <si>
    <t>广安市</t>
  </si>
  <si>
    <r>
      <t>川建价发</t>
    </r>
    <r>
      <rPr>
        <sz val="10.5"/>
        <rFont val="Times New Roman"/>
        <family val="1"/>
      </rPr>
      <t>[2007]32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</si>
  <si>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[2007]33</t>
    </r>
    <r>
      <rPr>
        <sz val="10.5"/>
        <rFont val="宋体"/>
        <family val="0"/>
      </rPr>
      <t>号</t>
    </r>
  </si>
  <si>
    <t>巴中市</t>
  </si>
  <si>
    <r>
      <t>川建价发</t>
    </r>
    <r>
      <rPr>
        <sz val="10.5"/>
        <rFont val="Times New Roman"/>
        <family val="1"/>
      </rPr>
      <t>[2007]45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</si>
  <si>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[2007]44</t>
    </r>
    <r>
      <rPr>
        <sz val="10.5"/>
        <rFont val="宋体"/>
        <family val="0"/>
      </rPr>
      <t>号</t>
    </r>
  </si>
  <si>
    <t>眉山市</t>
  </si>
  <si>
    <r>
      <t>川建价发</t>
    </r>
    <r>
      <rPr>
        <sz val="10.5"/>
        <rFont val="Times New Roman"/>
        <family val="1"/>
      </rPr>
      <t>[2007]57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</si>
  <si>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[2007]56</t>
    </r>
    <r>
      <rPr>
        <sz val="10.5"/>
        <rFont val="宋体"/>
        <family val="0"/>
      </rPr>
      <t>号</t>
    </r>
  </si>
  <si>
    <t>资阳市</t>
  </si>
  <si>
    <r>
      <t>川建价发</t>
    </r>
    <r>
      <rPr>
        <sz val="10.5"/>
        <rFont val="Calibri"/>
        <family val="2"/>
      </rPr>
      <t>[2007]5</t>
    </r>
    <r>
      <rPr>
        <sz val="10.5"/>
        <rFont val="宋体"/>
        <family val="0"/>
      </rPr>
      <t>号</t>
    </r>
  </si>
  <si>
    <t>甘孜州</t>
  </si>
  <si>
    <t>阿坝州</t>
  </si>
  <si>
    <r>
      <t>川建价发</t>
    </r>
    <r>
      <rPr>
        <sz val="10.5"/>
        <rFont val="Times New Roman"/>
        <family val="1"/>
      </rPr>
      <t>[2007]38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</si>
  <si>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[2007]39</t>
    </r>
    <r>
      <rPr>
        <sz val="10.5"/>
        <rFont val="宋体"/>
        <family val="0"/>
      </rPr>
      <t>号</t>
    </r>
  </si>
  <si>
    <t>凉山州</t>
  </si>
  <si>
    <r>
      <t>川建价发</t>
    </r>
    <r>
      <rPr>
        <sz val="10.5"/>
        <rFont val="Times New Roman"/>
        <family val="1"/>
      </rPr>
      <t>[2007]28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</si>
  <si>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[2007]27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</si>
  <si>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[2007]15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</si>
  <si>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[2007]16</t>
    </r>
    <r>
      <rPr>
        <sz val="10.5"/>
        <rFont val="宋体"/>
        <family val="0"/>
      </rPr>
      <t>号</t>
    </r>
  </si>
  <si>
    <t xml:space="preserve">注：1、各市、州（除成都市外）如划分区（市）县公布数据的，表中使用的是市、州政府所在地的数据。
    2、地区零星人工单价不含综合费。
    </t>
  </si>
  <si>
    <r>
      <t>川建价发</t>
    </r>
    <r>
      <rPr>
        <sz val="10.5"/>
        <rFont val="Times New Roman"/>
        <family val="1"/>
      </rPr>
      <t>[2002]35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</si>
  <si>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[2006]41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</si>
  <si>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[2006]40</t>
    </r>
    <r>
      <rPr>
        <sz val="10.5"/>
        <rFont val="宋体"/>
        <family val="0"/>
      </rPr>
      <t>号</t>
    </r>
  </si>
  <si>
    <t>四川省各市、州现行人工费调整及地区零星人工单价汇总表2007年4月2日</t>
  </si>
  <si>
    <t>四川省各市、州现行人工费调整及地区零星人工单价汇总表</t>
  </si>
  <si>
    <t>措施项目</t>
  </si>
  <si>
    <t>成都市</t>
  </si>
  <si>
    <t>通川区（达县）</t>
  </si>
  <si>
    <t>大竹县</t>
  </si>
  <si>
    <t>渠县</t>
  </si>
  <si>
    <t>宣汉县</t>
  </si>
  <si>
    <t>开江县</t>
  </si>
  <si>
    <t xml:space="preserve">万源县 </t>
  </si>
  <si>
    <t>备注</t>
  </si>
  <si>
    <t>广汉市</t>
  </si>
  <si>
    <t>巴州区</t>
  </si>
  <si>
    <t>平昌县</t>
  </si>
  <si>
    <t>通江县</t>
  </si>
  <si>
    <t>南江县</t>
  </si>
  <si>
    <t>其余乡镇</t>
  </si>
  <si>
    <t>仅适用于城市规划区内</t>
  </si>
  <si>
    <t>仅适用于江口镇</t>
  </si>
  <si>
    <t>仅适用于诺江镇</t>
  </si>
  <si>
    <t>仅适用于南江镇</t>
  </si>
  <si>
    <t>除上述区域外的所有乡镇</t>
  </si>
  <si>
    <r>
      <t>川建价发</t>
    </r>
    <r>
      <rPr>
        <sz val="10.5"/>
        <rFont val="Times New Roman"/>
        <family val="1"/>
      </rPr>
      <t>[2008]18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</si>
  <si>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[2008]17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</si>
  <si>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[2008]27</t>
    </r>
    <r>
      <rPr>
        <sz val="10.5"/>
        <rFont val="宋体"/>
        <family val="0"/>
      </rPr>
      <t>号</t>
    </r>
  </si>
  <si>
    <t>川建价发[2008]28号</t>
  </si>
  <si>
    <r>
      <t>川建价发</t>
    </r>
    <r>
      <rPr>
        <sz val="10.5"/>
        <rFont val="Times New Roman"/>
        <family val="1"/>
      </rPr>
      <t>[2008]20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</si>
  <si>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[2008]19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</si>
  <si>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[2008]23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</si>
  <si>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[2008]24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</si>
  <si>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[2008]26</t>
    </r>
    <r>
      <rPr>
        <sz val="10.5"/>
        <rFont val="宋体"/>
        <family val="0"/>
      </rPr>
      <t>号</t>
    </r>
  </si>
  <si>
    <r>
      <t>川建价发</t>
    </r>
    <r>
      <rPr>
        <sz val="10.5"/>
        <rFont val="Times New Roman"/>
        <family val="1"/>
      </rPr>
      <t>[2008]25</t>
    </r>
    <r>
      <rPr>
        <sz val="10.5"/>
        <rFont val="宋体"/>
        <family val="0"/>
      </rPr>
      <t>号</t>
    </r>
  </si>
  <si>
    <t>绵阳市</t>
  </si>
  <si>
    <t>达州市</t>
  </si>
  <si>
    <t>巴中市</t>
  </si>
  <si>
    <t>广安</t>
  </si>
  <si>
    <t>武胜</t>
  </si>
  <si>
    <t>岳池</t>
  </si>
  <si>
    <t>华蓥</t>
  </si>
  <si>
    <t>邻水</t>
  </si>
  <si>
    <t>序号</t>
  </si>
  <si>
    <t>地区</t>
  </si>
  <si>
    <t>四川省2008年9月1日起执行的《四川省工程量清单计价定额》人工费调整幅度及零星工作人工单价表</t>
  </si>
  <si>
    <t>四川省2008年9月1日起执行的“二000”计价定额人工费调整幅度表</t>
  </si>
  <si>
    <t>市政工程</t>
  </si>
  <si>
    <t>园林工程</t>
  </si>
  <si>
    <t>抹灰工程</t>
  </si>
  <si>
    <t>人工费在定额人工费基础上的调整幅度</t>
  </si>
  <si>
    <t>零星工作项目人工单价（含综合费,元/工日）</t>
  </si>
  <si>
    <t>建筑、市政、园林、抹灰技工</t>
  </si>
  <si>
    <t>装饰细木工</t>
  </si>
  <si>
    <t>安装普工、技工</t>
  </si>
  <si>
    <t>建筑、市政、园林、抹灰、措施项目普工</t>
  </si>
  <si>
    <t>装饰(抹灰工程除外) 普工</t>
  </si>
  <si>
    <t>装饰(抹灰工程除外) 技工</t>
  </si>
  <si>
    <t>序号</t>
  </si>
  <si>
    <t>地区</t>
  </si>
  <si>
    <t>机械土石方、零星记工、签证记工人工费调整同建筑工程</t>
  </si>
  <si>
    <t>内江市</t>
  </si>
  <si>
    <t>市区</t>
  </si>
  <si>
    <t>隆昌县</t>
  </si>
  <si>
    <t>资中县</t>
  </si>
  <si>
    <t>威远县</t>
  </si>
  <si>
    <t>清单计价定额人工费调整幅度</t>
  </si>
  <si>
    <t>成都市区（青羊、锦江、金牛、武侯、成华及高新区）</t>
  </si>
  <si>
    <t>成都市近郊区（龙泉、新都、双流、郫县、温江）</t>
  </si>
  <si>
    <t>成都市的其他区（市）、县</t>
  </si>
  <si>
    <t>现行人工费调整幅度</t>
  </si>
  <si>
    <t>本次人工费在现行调整幅度基础上的调增幅度</t>
  </si>
  <si>
    <t xml:space="preserve">建筑、市政、园林、抹灰普工(元/工日) </t>
  </si>
  <si>
    <t xml:space="preserve">建筑、市政、园林、抹灰技工(元/工日) </t>
  </si>
  <si>
    <t xml:space="preserve">装饰普工(元/工日) </t>
  </si>
  <si>
    <t xml:space="preserve">装饰其他技工(元/工日) </t>
  </si>
  <si>
    <t xml:space="preserve">装饰细木工(元/工日) </t>
  </si>
  <si>
    <t xml:space="preserve">安装普工\技工(元/工日) </t>
  </si>
  <si>
    <t>建筑、市政、园林、抹灰、措施项目</t>
  </si>
  <si>
    <t xml:space="preserve">装饰工程(抹灰工程除外) </t>
  </si>
  <si>
    <t>安装工程</t>
  </si>
  <si>
    <t xml:space="preserve">现行零星人工单价
</t>
  </si>
  <si>
    <t>本次与现行的差值</t>
  </si>
  <si>
    <t>本次申请零星工作单价</t>
  </si>
  <si>
    <t>零星工作项目人工单价（含综合费）</t>
  </si>
  <si>
    <t>本次申请人工费调整幅度</t>
  </si>
  <si>
    <t>内江市</t>
  </si>
  <si>
    <t>通川区（达县）</t>
  </si>
  <si>
    <t xml:space="preserve">万源县 </t>
  </si>
  <si>
    <t>备注</t>
  </si>
  <si>
    <t>本次达州市 只申请调整市政、园林工程，表中建筑、市政、园林、抹灰、措施项目数据专指市政、园林。</t>
  </si>
  <si>
    <t>广安</t>
  </si>
  <si>
    <t>广安市</t>
  </si>
  <si>
    <t>仅适用于城市规划区内</t>
  </si>
  <si>
    <t>仅适用于江口镇</t>
  </si>
  <si>
    <t>仅适用于诺江镇</t>
  </si>
  <si>
    <t>仅适用于南江镇</t>
  </si>
  <si>
    <t>除上述区域外的所有乡镇</t>
  </si>
  <si>
    <t>涪城游仙</t>
  </si>
  <si>
    <t>江油</t>
  </si>
  <si>
    <t>三台</t>
  </si>
  <si>
    <t>盐亭</t>
  </si>
  <si>
    <t>安县</t>
  </si>
  <si>
    <t>梓潼</t>
  </si>
  <si>
    <t>平武</t>
  </si>
  <si>
    <t>北川</t>
  </si>
  <si>
    <t>武胜</t>
  </si>
  <si>
    <t>岳池</t>
  </si>
  <si>
    <t>华蓥</t>
  </si>
  <si>
    <t>邻水</t>
  </si>
  <si>
    <t>巴州区</t>
  </si>
  <si>
    <t>平昌县</t>
  </si>
  <si>
    <t>通江县</t>
  </si>
  <si>
    <t>南江县</t>
  </si>
  <si>
    <t>其余乡镇</t>
  </si>
  <si>
    <t>德阳市</t>
  </si>
  <si>
    <t>不含广汉</t>
  </si>
  <si>
    <t>表中数据为本次申请</t>
  </si>
  <si>
    <t>广汉市</t>
  </si>
  <si>
    <t>建筑、市政、园林、抹灰、措施项目</t>
  </si>
  <si>
    <t xml:space="preserve">装饰工程(抹灰工程除外) </t>
  </si>
  <si>
    <t>现行"二OOO"计价定额人工费调整</t>
  </si>
  <si>
    <t>本次申请"二OOO"计价定额人工费调整</t>
  </si>
  <si>
    <t>本次申请与现行人工费调整幅度差</t>
  </si>
  <si>
    <r>
      <t>川建价发</t>
    </r>
    <r>
      <rPr>
        <sz val="10.5"/>
        <rFont val="Times New Roman"/>
        <family val="1"/>
      </rPr>
      <t>[2007]56号</t>
    </r>
  </si>
  <si>
    <r>
      <t>川建价发</t>
    </r>
    <r>
      <rPr>
        <sz val="10.5"/>
        <rFont val="Times New Roman"/>
        <family val="1"/>
      </rPr>
      <t>[2007]57号</t>
    </r>
  </si>
  <si>
    <r>
      <t>川建价发</t>
    </r>
    <r>
      <rPr>
        <sz val="10.5"/>
        <rFont val="Times New Roman"/>
        <family val="1"/>
      </rPr>
      <t>[2007]58号</t>
    </r>
  </si>
  <si>
    <t>自贡市</t>
  </si>
  <si>
    <t>攀枝花市</t>
  </si>
  <si>
    <t>泸州市</t>
  </si>
  <si>
    <t>广元市</t>
  </si>
  <si>
    <t>遂宁市</t>
  </si>
  <si>
    <t>乐山市</t>
  </si>
  <si>
    <t>南充市</t>
  </si>
  <si>
    <t>宜宾市</t>
  </si>
  <si>
    <t>雅安市</t>
  </si>
  <si>
    <t>眉山市</t>
  </si>
  <si>
    <t>资阳市</t>
  </si>
  <si>
    <t>甘孜州</t>
  </si>
  <si>
    <t>阿坝州</t>
  </si>
  <si>
    <t>凉山州</t>
  </si>
  <si>
    <t>涪城游仙</t>
  </si>
  <si>
    <t>江油</t>
  </si>
  <si>
    <t>三台</t>
  </si>
  <si>
    <t>盐亭</t>
  </si>
  <si>
    <t>安县</t>
  </si>
  <si>
    <t>梓潼</t>
  </si>
  <si>
    <t>平武</t>
  </si>
  <si>
    <t>北川</t>
  </si>
  <si>
    <t>市区</t>
  </si>
  <si>
    <t>隆昌县</t>
  </si>
  <si>
    <t>资中县</t>
  </si>
  <si>
    <t>威远县</t>
  </si>
  <si>
    <t>通川区（达县）</t>
  </si>
  <si>
    <t>大竹县</t>
  </si>
  <si>
    <t>渠县</t>
  </si>
  <si>
    <t>宣汉县</t>
  </si>
  <si>
    <t>开江县</t>
  </si>
  <si>
    <t xml:space="preserve">万源县 </t>
  </si>
  <si>
    <t>广安</t>
  </si>
  <si>
    <t>武胜</t>
  </si>
  <si>
    <t>岳池</t>
  </si>
  <si>
    <t>华蓥</t>
  </si>
  <si>
    <t>邻水</t>
  </si>
  <si>
    <t>巴州区</t>
  </si>
  <si>
    <t>平昌县</t>
  </si>
  <si>
    <t>通江县</t>
  </si>
  <si>
    <t>南江县</t>
  </si>
  <si>
    <t>其余乡镇</t>
  </si>
  <si>
    <t xml:space="preserve">绵阳市 </t>
  </si>
  <si>
    <t>不含广汉市</t>
  </si>
  <si>
    <t>不含广汉市</t>
  </si>
  <si>
    <t>表中零星工作人工单价只针对市政、园林工程，其他工程仍然执行“川建价发【2007】60号”文的零星工作单价</t>
  </si>
  <si>
    <t>实物量人工单价</t>
  </si>
  <si>
    <t>定额人工费</t>
  </si>
  <si>
    <r>
      <t>（实物量人工单价-定额人工费）</t>
    </r>
    <r>
      <rPr>
        <sz val="10"/>
        <rFont val="宋体"/>
        <family val="0"/>
      </rPr>
      <t>/定额人工费×100%</t>
    </r>
  </si>
  <si>
    <t>砖墙砌筑</t>
  </si>
  <si>
    <t>现浇钢筋</t>
  </si>
  <si>
    <t>成都市市区</t>
  </si>
  <si>
    <t>绵阳市区</t>
  </si>
  <si>
    <t>有梁板砼（现场搅拌）</t>
  </si>
  <si>
    <r>
      <t>（实物量人工单价-定额人工费）</t>
    </r>
    <r>
      <rPr>
        <sz val="10"/>
        <rFont val="宋体"/>
        <family val="0"/>
      </rPr>
      <t>/定额人工费×101%</t>
    </r>
  </si>
  <si>
    <t>梁模板（按 250×600计算）</t>
  </si>
  <si>
    <t>凉山州</t>
  </si>
  <si>
    <t>水泥砂浆内墙抹灰</t>
  </si>
  <si>
    <t>双排外架</t>
  </si>
  <si>
    <t>清单定额人工费</t>
  </si>
  <si>
    <t>2000定额 人工费</t>
  </si>
  <si>
    <t>（实物量人工单价-清单定额人工费）/清单定额人工费×100%</t>
  </si>
  <si>
    <t>（实物量人工单价-2000定额人工费）/2000定额人工费×100%</t>
  </si>
  <si>
    <t>本次测算幅度（清单）</t>
  </si>
  <si>
    <t>综合调整幅度（清单）</t>
  </si>
  <si>
    <t>综合调整幅度（2000）</t>
  </si>
  <si>
    <t>本次测算幅度（2000）</t>
  </si>
  <si>
    <t>德阳市市区</t>
  </si>
  <si>
    <t>广汉市市区</t>
  </si>
  <si>
    <t>广元市市区</t>
  </si>
  <si>
    <t>内江市市区</t>
  </si>
  <si>
    <t>宜宾市市区</t>
  </si>
  <si>
    <t>达州市市区</t>
  </si>
  <si>
    <t>广安市市区</t>
  </si>
  <si>
    <t>巴中市市区</t>
  </si>
  <si>
    <t>人工挖沟槽2m内</t>
  </si>
  <si>
    <t>项目</t>
  </si>
  <si>
    <t>权数</t>
  </si>
  <si>
    <t>表 3  实物量人工成本单价测算的人工调整幅度对比表</t>
  </si>
  <si>
    <t>本次在定额人工单价上的增幅</t>
  </si>
  <si>
    <t>本次在定额人工单价上的增幅</t>
  </si>
  <si>
    <t xml:space="preserve">表1  四川省各市、州现行人工费调整及地区零星人工单价与本次申请调整数据对比表 </t>
  </si>
  <si>
    <t>表2  四川省各市、州2000定额人工费调整于本次申请调整数据对比表</t>
  </si>
  <si>
    <t>园林绿化工程</t>
  </si>
  <si>
    <t>装饰（抹灰工程除外）普工</t>
  </si>
  <si>
    <t>建筑、市政、园林绿化、抹灰、措施项目普工</t>
  </si>
  <si>
    <t xml:space="preserve">建筑、市政、园林绿化、抹灰、措施项目技工   </t>
  </si>
  <si>
    <r>
      <rPr>
        <sz val="14"/>
        <rFont val="宋体"/>
        <family val="0"/>
      </rPr>
      <t>附件2：</t>
    </r>
    <r>
      <rPr>
        <b/>
        <sz val="18"/>
        <rFont val="宋体"/>
        <family val="0"/>
      </rPr>
      <t xml:space="preserve">  成都市等11个市、州《四川省建设工程工程量清单计价定额》零星工作项目人工单价表</t>
    </r>
  </si>
  <si>
    <t>表中零星工作项目人工单价只针对市政、园林绿化工程，其他工程仍然执行“川建价发【2007】60号”文的零星工作项目人工单价</t>
  </si>
  <si>
    <r>
      <rPr>
        <sz val="14"/>
        <rFont val="宋体"/>
        <family val="0"/>
      </rPr>
      <t>附件1：</t>
    </r>
    <r>
      <rPr>
        <b/>
        <sz val="18"/>
        <rFont val="宋体"/>
        <family val="0"/>
      </rPr>
      <t xml:space="preserve">  成都市等11个市、州《四川省建设工程工程量清单计价定额》人工费调整幅度</t>
    </r>
  </si>
  <si>
    <t>本次人工费调整幅度</t>
  </si>
  <si>
    <t>本次调整后人工费调整幅度</t>
  </si>
  <si>
    <t>近郊区（龙泉、新都、双流、郫县、温江）</t>
  </si>
  <si>
    <t>达州市本次只调整市政工程和园林绿化工程人工费，其他工程仍然执行“川建价发【2007】60号”人工费调整幅度</t>
  </si>
  <si>
    <t>仅适用于城市规划区内</t>
  </si>
  <si>
    <t>仅适用于江口镇</t>
  </si>
  <si>
    <t>仅适用于诺江镇</t>
  </si>
  <si>
    <t>仅适用于南江镇</t>
  </si>
  <si>
    <t>除上述区域外的所有乡镇</t>
  </si>
  <si>
    <t>本次人工费只调整市政工程和仿古园林工程，其他工程仍然执行“川建价发[2007]59号”文</t>
  </si>
  <si>
    <r>
      <rPr>
        <sz val="14"/>
        <rFont val="宋体"/>
        <family val="0"/>
      </rPr>
      <t>附件：</t>
    </r>
    <r>
      <rPr>
        <b/>
        <sz val="18"/>
        <rFont val="宋体"/>
        <family val="0"/>
      </rPr>
      <t xml:space="preserve">  成都市等11个市、州“二000”计价定额人工费调整幅度表</t>
    </r>
  </si>
  <si>
    <t>本次人工费调整幅度是指广元市中区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</si>
</sst>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F800]dddd\,\ mmmm\ dd\,\ yyyy"/>
    <numFmt numFmtId="178" formatCode="yyyy&quot;年&quot;m&quot;月&quot;d&quot;日&quot;;@"/>
    <numFmt numFmtId="179" formatCode="mm/dd/yy;@"/>
    <numFmt numFmtId="180" formatCode="0.0%"/>
    <numFmt numFmtId="181" formatCode="0.00_ "/>
    <numFmt numFmtId="182" formatCode="yyyy/m/d;@"/>
    <numFmt numFmtId="183" formatCode="0_);[Red]\(0\)"/>
    <numFmt numFmtId="184" formatCode="yyyy&quot;年&quot;m&quot;月&quot;d&quot;日&quot;"/>
  </numFmts>
  <fonts count="35"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8"/>
      <name val="宋体"/>
      <family val="0"/>
    </font>
    <font>
      <sz val="10.5"/>
      <name val="Calibri"/>
      <family val="2"/>
    </font>
    <font>
      <sz val="10.5"/>
      <color indexed="8"/>
      <name val="宋体"/>
      <family val="0"/>
    </font>
    <font>
      <sz val="9"/>
      <name val="宋体"/>
      <family val="0"/>
    </font>
    <font>
      <i/>
      <sz val="10.5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b/>
      <sz val="10.5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u val="single"/>
      <sz val="10.5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" fillId="0" borderId="0">
      <alignment/>
      <protection/>
    </xf>
    <xf numFmtId="0" fontId="23" fillId="4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30" fillId="17" borderId="6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5" fillId="22" borderId="0" applyNumberFormat="0" applyBorder="0" applyAlignment="0" applyProtection="0"/>
    <xf numFmtId="0" fontId="27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6" fontId="7" fillId="0" borderId="11" xfId="40" applyNumberFormat="1" applyFont="1" applyFill="1" applyBorder="1" applyAlignment="1">
      <alignment horizontal="center" vertical="center" wrapText="1"/>
      <protection/>
    </xf>
    <xf numFmtId="10" fontId="7" fillId="0" borderId="11" xfId="40" applyNumberFormat="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9" fontId="16" fillId="0" borderId="11" xfId="33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9" fontId="4" fillId="0" borderId="11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79" fontId="4" fillId="0" borderId="11" xfId="0" applyNumberFormat="1" applyFont="1" applyBorder="1" applyAlignment="1">
      <alignment horizontal="center" vertical="center" shrinkToFit="1"/>
    </xf>
    <xf numFmtId="9" fontId="4" fillId="0" borderId="11" xfId="0" applyNumberFormat="1" applyFont="1" applyBorder="1" applyAlignment="1">
      <alignment horizontal="center" vertical="center" shrinkToFit="1"/>
    </xf>
    <xf numFmtId="10" fontId="4" fillId="0" borderId="11" xfId="0" applyNumberFormat="1" applyFont="1" applyBorder="1" applyAlignment="1">
      <alignment horizontal="center" vertical="center" shrinkToFit="1"/>
    </xf>
    <xf numFmtId="10" fontId="7" fillId="0" borderId="11" xfId="40" applyNumberFormat="1" applyFont="1" applyFill="1" applyBorder="1" applyAlignment="1">
      <alignment horizontal="center" vertical="center" shrinkToFit="1"/>
      <protection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9" fontId="4" fillId="0" borderId="11" xfId="33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shrinkToFit="1"/>
    </xf>
    <xf numFmtId="176" fontId="7" fillId="0" borderId="11" xfId="40" applyNumberFormat="1" applyFont="1" applyFill="1" applyBorder="1" applyAlignment="1">
      <alignment horizontal="center" vertical="center" shrinkToFit="1"/>
      <protection/>
    </xf>
    <xf numFmtId="10" fontId="11" fillId="0" borderId="11" xfId="0" applyNumberFormat="1" applyFont="1" applyBorder="1" applyAlignment="1">
      <alignment horizontal="center" vertical="center" shrinkToFit="1"/>
    </xf>
    <xf numFmtId="9" fontId="11" fillId="0" borderId="11" xfId="0" applyNumberFormat="1" applyFont="1" applyBorder="1" applyAlignment="1">
      <alignment horizontal="center" vertical="center" shrinkToFit="1"/>
    </xf>
    <xf numFmtId="180" fontId="4" fillId="24" borderId="11" xfId="0" applyNumberFormat="1" applyFont="1" applyFill="1" applyBorder="1" applyAlignment="1">
      <alignment horizontal="center" vertical="center" wrapText="1"/>
    </xf>
    <xf numFmtId="10" fontId="4" fillId="24" borderId="11" xfId="0" applyNumberFormat="1" applyFont="1" applyFill="1" applyBorder="1" applyAlignment="1">
      <alignment horizontal="center" vertical="center" wrapText="1"/>
    </xf>
    <xf numFmtId="180" fontId="4" fillId="24" borderId="11" xfId="0" applyNumberFormat="1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0" fontId="4" fillId="0" borderId="11" xfId="33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9" fontId="0" fillId="0" borderId="11" xfId="33" applyFont="1" applyBorder="1" applyAlignment="1">
      <alignment horizontal="center" vertical="center" wrapText="1"/>
    </xf>
    <xf numFmtId="10" fontId="0" fillId="0" borderId="11" xfId="33" applyNumberFormat="1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181" fontId="0" fillId="0" borderId="11" xfId="33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0" fontId="16" fillId="0" borderId="11" xfId="33" applyNumberFormat="1" applyFont="1" applyBorder="1" applyAlignment="1">
      <alignment horizontal="center" vertical="center" wrapText="1"/>
    </xf>
    <xf numFmtId="176" fontId="13" fillId="0" borderId="18" xfId="0" applyNumberFormat="1" applyFont="1" applyBorder="1" applyAlignment="1">
      <alignment vertical="center" wrapText="1"/>
    </xf>
    <xf numFmtId="176" fontId="13" fillId="0" borderId="19" xfId="0" applyNumberFormat="1" applyFont="1" applyBorder="1" applyAlignment="1">
      <alignment vertical="center" wrapText="1"/>
    </xf>
    <xf numFmtId="10" fontId="0" fillId="0" borderId="0" xfId="0" applyNumberFormat="1" applyAlignment="1">
      <alignment horizontal="center" vertical="center" shrinkToFit="1"/>
    </xf>
    <xf numFmtId="10" fontId="11" fillId="0" borderId="12" xfId="0" applyNumberFormat="1" applyFont="1" applyBorder="1" applyAlignment="1">
      <alignment horizontal="center" vertical="center" shrinkToFit="1"/>
    </xf>
    <xf numFmtId="10" fontId="11" fillId="0" borderId="13" xfId="0" applyNumberFormat="1" applyFont="1" applyBorder="1" applyAlignment="1">
      <alignment horizontal="center" vertical="center" shrinkToFit="1"/>
    </xf>
    <xf numFmtId="10" fontId="11" fillId="0" borderId="14" xfId="0" applyNumberFormat="1" applyFont="1" applyBorder="1" applyAlignment="1">
      <alignment horizontal="center" vertical="center" shrinkToFit="1"/>
    </xf>
    <xf numFmtId="176" fontId="13" fillId="0" borderId="20" xfId="0" applyNumberFormat="1" applyFont="1" applyBorder="1" applyAlignment="1">
      <alignment vertical="center" wrapText="1"/>
    </xf>
    <xf numFmtId="181" fontId="4" fillId="0" borderId="11" xfId="33" applyNumberFormat="1" applyFont="1" applyBorder="1" applyAlignment="1">
      <alignment horizontal="center" vertical="center" wrapText="1"/>
    </xf>
    <xf numFmtId="10" fontId="4" fillId="0" borderId="0" xfId="33" applyNumberFormat="1" applyFont="1" applyAlignment="1">
      <alignment horizontal="center" vertical="center" wrapText="1"/>
    </xf>
    <xf numFmtId="10" fontId="4" fillId="0" borderId="11" xfId="33" applyNumberFormat="1" applyFont="1" applyBorder="1" applyAlignment="1">
      <alignment horizontal="center" vertical="center" wrapText="1"/>
    </xf>
    <xf numFmtId="10" fontId="0" fillId="0" borderId="0" xfId="33" applyNumberFormat="1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0" fontId="4" fillId="0" borderId="11" xfId="33" applyNumberFormat="1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wrapText="1"/>
    </xf>
    <xf numFmtId="10" fontId="4" fillId="24" borderId="11" xfId="0" applyNumberFormat="1" applyFont="1" applyFill="1" applyBorder="1" applyAlignment="1">
      <alignment horizontal="center" vertical="center" wrapText="1"/>
    </xf>
    <xf numFmtId="10" fontId="4" fillId="24" borderId="11" xfId="0" applyNumberFormat="1" applyFont="1" applyFill="1" applyBorder="1" applyAlignment="1">
      <alignment horizontal="center" vertical="center" shrinkToFit="1"/>
    </xf>
    <xf numFmtId="0" fontId="4" fillId="24" borderId="11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81" fontId="0" fillId="0" borderId="11" xfId="33" applyNumberFormat="1" applyFont="1" applyBorder="1" applyAlignment="1">
      <alignment horizontal="center" vertical="center" wrapText="1"/>
    </xf>
    <xf numFmtId="176" fontId="13" fillId="0" borderId="11" xfId="0" applyNumberFormat="1" applyFont="1" applyBorder="1" applyAlignment="1">
      <alignment horizontal="center" vertical="center" wrapText="1"/>
    </xf>
    <xf numFmtId="10" fontId="13" fillId="0" borderId="11" xfId="0" applyNumberFormat="1" applyFont="1" applyBorder="1" applyAlignment="1">
      <alignment horizontal="center" vertical="center" shrinkToFit="1"/>
    </xf>
    <xf numFmtId="180" fontId="13" fillId="24" borderId="1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10" fontId="11" fillId="0" borderId="11" xfId="0" applyNumberFormat="1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wrapText="1"/>
    </xf>
    <xf numFmtId="10" fontId="12" fillId="0" borderId="11" xfId="0" applyNumberFormat="1" applyFont="1" applyBorder="1" applyAlignment="1">
      <alignment horizontal="center" vertical="center" wrapText="1"/>
    </xf>
    <xf numFmtId="180" fontId="4" fillId="24" borderId="11" xfId="0" applyNumberFormat="1" applyFont="1" applyFill="1" applyBorder="1" applyAlignment="1">
      <alignment horizontal="center" vertical="center" wrapText="1"/>
    </xf>
    <xf numFmtId="180" fontId="4" fillId="24" borderId="11" xfId="0" applyNumberFormat="1" applyFont="1" applyFill="1" applyBorder="1" applyAlignment="1">
      <alignment vertical="center" wrapText="1"/>
    </xf>
    <xf numFmtId="180" fontId="4" fillId="24" borderId="11" xfId="0" applyNumberFormat="1" applyFont="1" applyFill="1" applyBorder="1" applyAlignment="1">
      <alignment horizontal="center" vertical="center" shrinkToFit="1"/>
    </xf>
    <xf numFmtId="180" fontId="0" fillId="24" borderId="0" xfId="0" applyNumberFormat="1" applyFill="1" applyAlignment="1">
      <alignment horizontal="center" vertical="center" wrapText="1"/>
    </xf>
    <xf numFmtId="180" fontId="11" fillId="24" borderId="12" xfId="0" applyNumberFormat="1" applyFont="1" applyFill="1" applyBorder="1" applyAlignment="1">
      <alignment horizontal="center" vertical="center" wrapText="1"/>
    </xf>
    <xf numFmtId="180" fontId="11" fillId="24" borderId="13" xfId="0" applyNumberFormat="1" applyFont="1" applyFill="1" applyBorder="1" applyAlignment="1">
      <alignment horizontal="center" vertical="center" wrapText="1"/>
    </xf>
    <xf numFmtId="180" fontId="11" fillId="24" borderId="14" xfId="0" applyNumberFormat="1" applyFont="1" applyFill="1" applyBorder="1" applyAlignment="1">
      <alignment horizontal="center" vertical="center" wrapText="1"/>
    </xf>
    <xf numFmtId="182" fontId="4" fillId="0" borderId="11" xfId="0" applyNumberFormat="1" applyFont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 vertical="center" wrapText="1"/>
    </xf>
    <xf numFmtId="183" fontId="18" fillId="0" borderId="11" xfId="0" applyNumberFormat="1" applyFont="1" applyBorder="1" applyAlignment="1">
      <alignment horizontal="center" vertical="center" wrapText="1"/>
    </xf>
    <xf numFmtId="183" fontId="7" fillId="0" borderId="11" xfId="33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83" fontId="7" fillId="0" borderId="11" xfId="0" applyNumberFormat="1" applyFont="1" applyBorder="1" applyAlignment="1">
      <alignment horizontal="center" vertical="center" wrapText="1"/>
    </xf>
    <xf numFmtId="183" fontId="7" fillId="0" borderId="11" xfId="40" applyNumberFormat="1" applyFont="1" applyFill="1" applyBorder="1" applyAlignment="1">
      <alignment horizontal="center" vertical="center" wrapText="1"/>
      <protection/>
    </xf>
    <xf numFmtId="10" fontId="7" fillId="0" borderId="11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0" fontId="4" fillId="0" borderId="15" xfId="0" applyNumberFormat="1" applyFont="1" applyBorder="1" applyAlignment="1">
      <alignment horizontal="center" vertical="center" shrinkToFit="1"/>
    </xf>
    <xf numFmtId="10" fontId="4" fillId="0" borderId="17" xfId="0" applyNumberFormat="1" applyFont="1" applyBorder="1" applyAlignment="1">
      <alignment horizontal="center" vertical="center" shrinkToFit="1"/>
    </xf>
    <xf numFmtId="180" fontId="4" fillId="24" borderId="15" xfId="0" applyNumberFormat="1" applyFont="1" applyFill="1" applyBorder="1" applyAlignment="1">
      <alignment horizontal="center" vertical="center" shrinkToFit="1"/>
    </xf>
    <xf numFmtId="180" fontId="4" fillId="24" borderId="17" xfId="0" applyNumberFormat="1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/>
    </xf>
    <xf numFmtId="10" fontId="13" fillId="0" borderId="11" xfId="0" applyNumberFormat="1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left" vertical="center" wrapText="1"/>
    </xf>
    <xf numFmtId="179" fontId="4" fillId="0" borderId="11" xfId="0" applyNumberFormat="1" applyFont="1" applyBorder="1" applyAlignment="1">
      <alignment horizontal="center" vertical="center" wrapText="1"/>
    </xf>
    <xf numFmtId="10" fontId="13" fillId="0" borderId="11" xfId="0" applyNumberFormat="1" applyFont="1" applyBorder="1" applyAlignment="1">
      <alignment horizontal="center" vertical="center" wrapText="1"/>
    </xf>
    <xf numFmtId="10" fontId="12" fillId="0" borderId="11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shrinkToFit="1"/>
    </xf>
    <xf numFmtId="10" fontId="4" fillId="24" borderId="11" xfId="0" applyNumberFormat="1" applyFont="1" applyFill="1" applyBorder="1" applyAlignment="1">
      <alignment horizontal="center" vertical="center" shrinkToFit="1"/>
    </xf>
    <xf numFmtId="179" fontId="4" fillId="0" borderId="15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 wrapText="1"/>
    </xf>
    <xf numFmtId="179" fontId="11" fillId="0" borderId="12" xfId="0" applyNumberFormat="1" applyFont="1" applyBorder="1" applyAlignment="1">
      <alignment horizontal="center" vertical="center" wrapText="1"/>
    </xf>
    <xf numFmtId="179" fontId="11" fillId="0" borderId="13" xfId="0" applyNumberFormat="1" applyFont="1" applyBorder="1" applyAlignment="1">
      <alignment horizontal="center" vertical="center" wrapText="1"/>
    </xf>
    <xf numFmtId="179" fontId="11" fillId="0" borderId="14" xfId="0" applyNumberFormat="1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10" fontId="4" fillId="0" borderId="18" xfId="0" applyNumberFormat="1" applyFont="1" applyBorder="1" applyAlignment="1">
      <alignment horizontal="center" vertical="center" wrapText="1"/>
    </xf>
    <xf numFmtId="10" fontId="4" fillId="0" borderId="20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8" fontId="4" fillId="0" borderId="15" xfId="0" applyNumberFormat="1" applyFont="1" applyBorder="1" applyAlignment="1">
      <alignment horizontal="center" vertical="center" wrapText="1"/>
    </xf>
    <xf numFmtId="178" fontId="4" fillId="0" borderId="1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清单人工费调整系数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85" zoomScaleNormal="85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8" sqref="D18"/>
    </sheetView>
  </sheetViews>
  <sheetFormatPr defaultColWidth="9.140625" defaultRowHeight="12"/>
  <cols>
    <col min="1" max="1" width="6.8515625" style="1" customWidth="1"/>
    <col min="2" max="2" width="13.28125" style="1" customWidth="1"/>
    <col min="3" max="3" width="20.57421875" style="1" customWidth="1"/>
    <col min="4" max="4" width="16.421875" style="6" customWidth="1"/>
    <col min="5" max="5" width="13.28125" style="2" customWidth="1"/>
    <col min="6" max="6" width="12.00390625" style="2" customWidth="1"/>
    <col min="7" max="7" width="12.28125" style="2" customWidth="1"/>
    <col min="8" max="8" width="12.28125" style="3" customWidth="1"/>
    <col min="9" max="9" width="13.28125" style="3" customWidth="1"/>
    <col min="10" max="10" width="13.140625" style="3" customWidth="1"/>
    <col min="11" max="11" width="12.28125" style="3" customWidth="1"/>
    <col min="12" max="12" width="12.140625" style="3" customWidth="1"/>
    <col min="13" max="13" width="11.140625" style="3" customWidth="1"/>
    <col min="14" max="14" width="19.8515625" style="3" customWidth="1"/>
    <col min="15" max="15" width="15.140625" style="5" customWidth="1"/>
    <col min="16" max="16" width="9.28125" style="2" bestFit="1" customWidth="1"/>
    <col min="17" max="18" width="9.7109375" style="2" bestFit="1" customWidth="1"/>
    <col min="19" max="20" width="9.140625" style="2" customWidth="1"/>
    <col min="21" max="21" width="9.421875" style="2" customWidth="1"/>
    <col min="22" max="16384" width="9.140625" style="1" customWidth="1"/>
  </cols>
  <sheetData>
    <row r="1" spans="1:21" s="4" customFormat="1" ht="68.25" customHeight="1">
      <c r="A1" s="158" t="s">
        <v>89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s="10" customFormat="1" ht="26.25" customHeight="1">
      <c r="A2" s="154" t="s">
        <v>0</v>
      </c>
      <c r="B2" s="154" t="s">
        <v>21</v>
      </c>
      <c r="C2" s="150" t="s">
        <v>18</v>
      </c>
      <c r="D2" s="151"/>
      <c r="E2" s="151"/>
      <c r="F2" s="151"/>
      <c r="G2" s="151"/>
      <c r="H2" s="151"/>
      <c r="I2" s="151"/>
      <c r="J2" s="151"/>
      <c r="K2" s="151"/>
      <c r="L2" s="151"/>
      <c r="M2" s="152"/>
      <c r="N2" s="150" t="s">
        <v>12</v>
      </c>
      <c r="O2" s="151"/>
      <c r="P2" s="151"/>
      <c r="Q2" s="151"/>
      <c r="R2" s="151"/>
      <c r="S2" s="151"/>
      <c r="T2" s="151"/>
      <c r="U2" s="152"/>
    </row>
    <row r="3" spans="1:21" s="10" customFormat="1" ht="26.25" customHeight="1">
      <c r="A3" s="163"/>
      <c r="B3" s="163"/>
      <c r="C3" s="154" t="s">
        <v>22</v>
      </c>
      <c r="D3" s="156" t="s">
        <v>14</v>
      </c>
      <c r="E3" s="150" t="s">
        <v>19</v>
      </c>
      <c r="F3" s="151"/>
      <c r="G3" s="152"/>
      <c r="H3" s="150" t="s">
        <v>20</v>
      </c>
      <c r="I3" s="151"/>
      <c r="J3" s="151"/>
      <c r="K3" s="151"/>
      <c r="L3" s="151"/>
      <c r="M3" s="152"/>
      <c r="N3" s="161" t="s">
        <v>13</v>
      </c>
      <c r="O3" s="159" t="s">
        <v>14</v>
      </c>
      <c r="P3" s="150" t="s">
        <v>19</v>
      </c>
      <c r="Q3" s="151"/>
      <c r="R3" s="151"/>
      <c r="S3" s="151"/>
      <c r="T3" s="151"/>
      <c r="U3" s="152"/>
    </row>
    <row r="4" spans="1:21" s="13" customFormat="1" ht="53.25" customHeight="1">
      <c r="A4" s="155"/>
      <c r="B4" s="155"/>
      <c r="C4" s="155"/>
      <c r="D4" s="157"/>
      <c r="E4" s="11" t="s">
        <v>16</v>
      </c>
      <c r="F4" s="11" t="s">
        <v>23</v>
      </c>
      <c r="G4" s="11" t="s">
        <v>9</v>
      </c>
      <c r="H4" s="12" t="s">
        <v>2</v>
      </c>
      <c r="I4" s="12" t="s">
        <v>1</v>
      </c>
      <c r="J4" s="12" t="s">
        <v>5</v>
      </c>
      <c r="K4" s="12" t="s">
        <v>4</v>
      </c>
      <c r="L4" s="12" t="s">
        <v>3</v>
      </c>
      <c r="M4" s="12" t="s">
        <v>15</v>
      </c>
      <c r="N4" s="162"/>
      <c r="O4" s="160"/>
      <c r="P4" s="11" t="s">
        <v>6</v>
      </c>
      <c r="Q4" s="11" t="s">
        <v>7</v>
      </c>
      <c r="R4" s="11" t="s">
        <v>8</v>
      </c>
      <c r="S4" s="11" t="s">
        <v>9</v>
      </c>
      <c r="T4" s="11" t="s">
        <v>10</v>
      </c>
      <c r="U4" s="11" t="s">
        <v>11</v>
      </c>
    </row>
    <row r="5" spans="1:21" s="13" customFormat="1" ht="68.25" customHeight="1">
      <c r="A5" s="153">
        <v>1</v>
      </c>
      <c r="B5" s="7" t="s">
        <v>24</v>
      </c>
      <c r="C5" s="7" t="s">
        <v>17</v>
      </c>
      <c r="D5" s="8">
        <v>39264</v>
      </c>
      <c r="E5" s="9">
        <v>0.67</v>
      </c>
      <c r="F5" s="9">
        <v>0.68</v>
      </c>
      <c r="G5" s="9">
        <v>0.72</v>
      </c>
      <c r="H5" s="7">
        <f>36-18*0.25</f>
        <v>31.5</v>
      </c>
      <c r="I5" s="7">
        <f>50-25*0.25</f>
        <v>43.75</v>
      </c>
      <c r="J5" s="7">
        <f>38-0.25*18</f>
        <v>33.5</v>
      </c>
      <c r="K5" s="7">
        <f>54-0.25*30</f>
        <v>46.5</v>
      </c>
      <c r="L5" s="7">
        <f>70-35*0.25</f>
        <v>61.25</v>
      </c>
      <c r="M5" s="7">
        <f>50-25*0.25</f>
        <v>43.75</v>
      </c>
      <c r="N5" s="7" t="s">
        <v>25</v>
      </c>
      <c r="O5" s="14">
        <v>39264</v>
      </c>
      <c r="P5" s="9">
        <v>0.69</v>
      </c>
      <c r="Q5" s="9">
        <v>0.72</v>
      </c>
      <c r="R5" s="9">
        <v>0.69</v>
      </c>
      <c r="S5" s="9">
        <v>0.9</v>
      </c>
      <c r="T5" s="9">
        <v>0.69</v>
      </c>
      <c r="U5" s="9">
        <v>0.69</v>
      </c>
    </row>
    <row r="6" spans="1:21" s="13" customFormat="1" ht="65.25" customHeight="1">
      <c r="A6" s="153"/>
      <c r="B6" s="7" t="s">
        <v>26</v>
      </c>
      <c r="C6" s="7" t="s">
        <v>17</v>
      </c>
      <c r="D6" s="8">
        <v>39264</v>
      </c>
      <c r="E6" s="9">
        <v>0.62</v>
      </c>
      <c r="F6" s="9">
        <v>0.63</v>
      </c>
      <c r="G6" s="9">
        <v>0.67</v>
      </c>
      <c r="H6" s="7">
        <f>33-18*0.25</f>
        <v>28.5</v>
      </c>
      <c r="I6" s="7">
        <f>47-25*0.25</f>
        <v>40.75</v>
      </c>
      <c r="J6" s="7">
        <f>35-0.25*18</f>
        <v>30.5</v>
      </c>
      <c r="K6" s="7">
        <f>50-0.25*30</f>
        <v>42.5</v>
      </c>
      <c r="L6" s="7">
        <f>65-35*0.25</f>
        <v>56.25</v>
      </c>
      <c r="M6" s="7">
        <f>47-25*0.25</f>
        <v>40.75</v>
      </c>
      <c r="N6" s="7" t="s">
        <v>25</v>
      </c>
      <c r="O6" s="14">
        <v>39264</v>
      </c>
      <c r="P6" s="9">
        <v>0.64</v>
      </c>
      <c r="Q6" s="9">
        <v>0.67</v>
      </c>
      <c r="R6" s="9">
        <v>0.64</v>
      </c>
      <c r="S6" s="9">
        <v>0.84</v>
      </c>
      <c r="T6" s="9">
        <v>0.64</v>
      </c>
      <c r="U6" s="9">
        <v>0.64</v>
      </c>
    </row>
    <row r="7" spans="1:21" s="13" customFormat="1" ht="75.75" customHeight="1">
      <c r="A7" s="153"/>
      <c r="B7" s="7" t="s">
        <v>27</v>
      </c>
      <c r="C7" s="7" t="s">
        <v>17</v>
      </c>
      <c r="D7" s="8">
        <v>39264</v>
      </c>
      <c r="E7" s="9">
        <v>0.55</v>
      </c>
      <c r="F7" s="9">
        <v>0.56</v>
      </c>
      <c r="G7" s="9">
        <v>0.59</v>
      </c>
      <c r="H7" s="7">
        <f>30-18*0.25</f>
        <v>25.5</v>
      </c>
      <c r="I7" s="7">
        <f>41-25*0.25</f>
        <v>34.75</v>
      </c>
      <c r="J7" s="7">
        <f>31-0.25*18</f>
        <v>26.5</v>
      </c>
      <c r="K7" s="7">
        <f>44-0.25*30</f>
        <v>36.5</v>
      </c>
      <c r="L7" s="7">
        <f>57-35*0.25</f>
        <v>48.25</v>
      </c>
      <c r="M7" s="7">
        <f>41-25*0.25</f>
        <v>34.75</v>
      </c>
      <c r="N7" s="7" t="s">
        <v>25</v>
      </c>
      <c r="O7" s="14">
        <v>39264</v>
      </c>
      <c r="P7" s="9">
        <v>0.57</v>
      </c>
      <c r="Q7" s="9">
        <v>0.59</v>
      </c>
      <c r="R7" s="9">
        <v>0.57</v>
      </c>
      <c r="S7" s="9">
        <v>0.74</v>
      </c>
      <c r="T7" s="9">
        <v>0.57</v>
      </c>
      <c r="U7" s="9">
        <v>0.57</v>
      </c>
    </row>
    <row r="8" spans="1:21" s="13" customFormat="1" ht="29.25" customHeight="1">
      <c r="A8" s="7">
        <v>2</v>
      </c>
      <c r="B8" s="7" t="s">
        <v>28</v>
      </c>
      <c r="C8" s="7" t="s">
        <v>29</v>
      </c>
      <c r="D8" s="8">
        <v>39448</v>
      </c>
      <c r="E8" s="11">
        <v>0.4152</v>
      </c>
      <c r="F8" s="11">
        <v>0.4344</v>
      </c>
      <c r="G8" s="11">
        <v>0.485</v>
      </c>
      <c r="H8" s="12">
        <v>30.5</v>
      </c>
      <c r="I8" s="12">
        <v>42.75</v>
      </c>
      <c r="J8" s="12">
        <v>30.5</v>
      </c>
      <c r="K8" s="12">
        <v>43.5</v>
      </c>
      <c r="L8" s="12">
        <v>52.25</v>
      </c>
      <c r="M8" s="12">
        <v>49.35</v>
      </c>
      <c r="N8" s="7" t="s">
        <v>30</v>
      </c>
      <c r="O8" s="14">
        <v>39448</v>
      </c>
      <c r="P8" s="11">
        <v>0.4523</v>
      </c>
      <c r="Q8" s="11">
        <v>0.4863</v>
      </c>
      <c r="R8" s="11">
        <v>0.3762</v>
      </c>
      <c r="S8" s="11">
        <v>0.514</v>
      </c>
      <c r="T8" s="11">
        <v>0.4463</v>
      </c>
      <c r="U8" s="11">
        <v>0.361</v>
      </c>
    </row>
    <row r="9" spans="1:21" s="13" customFormat="1" ht="29.25" customHeight="1">
      <c r="A9" s="7">
        <v>3</v>
      </c>
      <c r="B9" s="7" t="s">
        <v>31</v>
      </c>
      <c r="C9" s="7" t="s">
        <v>32</v>
      </c>
      <c r="D9" s="8">
        <v>39264</v>
      </c>
      <c r="E9" s="11">
        <v>0.4743</v>
      </c>
      <c r="F9" s="11">
        <v>0.3037</v>
      </c>
      <c r="G9" s="11">
        <v>0.3187</v>
      </c>
      <c r="H9" s="12">
        <v>26.54</v>
      </c>
      <c r="I9" s="12">
        <v>36.86</v>
      </c>
      <c r="J9" s="12">
        <v>23.47</v>
      </c>
      <c r="K9" s="12">
        <v>39.11</v>
      </c>
      <c r="L9" s="12">
        <v>45.63</v>
      </c>
      <c r="M9" s="12">
        <v>32.97</v>
      </c>
      <c r="N9" s="7" t="s">
        <v>33</v>
      </c>
      <c r="O9" s="14">
        <v>39264</v>
      </c>
      <c r="P9" s="11">
        <v>0.8077</v>
      </c>
      <c r="Q9" s="11">
        <v>0.5482</v>
      </c>
      <c r="R9" s="11">
        <v>0.8077</v>
      </c>
      <c r="S9" s="11">
        <v>0.6484</v>
      </c>
      <c r="T9" s="11">
        <v>0.8077</v>
      </c>
      <c r="U9" s="11">
        <v>0.8077</v>
      </c>
    </row>
    <row r="10" spans="1:21" s="13" customFormat="1" ht="29.25" customHeight="1">
      <c r="A10" s="7">
        <v>4</v>
      </c>
      <c r="B10" s="7" t="s">
        <v>34</v>
      </c>
      <c r="C10" s="7" t="s">
        <v>35</v>
      </c>
      <c r="D10" s="8">
        <v>39203</v>
      </c>
      <c r="E10" s="11">
        <v>0.5578</v>
      </c>
      <c r="F10" s="11">
        <v>0.481</v>
      </c>
      <c r="G10" s="11">
        <v>0.6</v>
      </c>
      <c r="H10" s="12">
        <v>25</v>
      </c>
      <c r="I10" s="12">
        <v>40</v>
      </c>
      <c r="J10" s="12">
        <v>25</v>
      </c>
      <c r="K10" s="12">
        <v>45</v>
      </c>
      <c r="L10" s="12">
        <v>50</v>
      </c>
      <c r="M10" s="12">
        <v>40</v>
      </c>
      <c r="N10" s="7" t="s">
        <v>36</v>
      </c>
      <c r="O10" s="14">
        <v>37257</v>
      </c>
      <c r="P10" s="11">
        <v>0.675</v>
      </c>
      <c r="Q10" s="11">
        <v>0.5738</v>
      </c>
      <c r="R10" s="11">
        <v>0.675</v>
      </c>
      <c r="S10" s="11">
        <v>0.615</v>
      </c>
      <c r="T10" s="11">
        <v>0.675</v>
      </c>
      <c r="U10" s="11">
        <v>0.675</v>
      </c>
    </row>
    <row r="11" spans="1:21" s="13" customFormat="1" ht="29.25" customHeight="1">
      <c r="A11" s="7">
        <v>5</v>
      </c>
      <c r="B11" s="7" t="s">
        <v>37</v>
      </c>
      <c r="C11" s="7" t="s">
        <v>38</v>
      </c>
      <c r="D11" s="8">
        <v>39448</v>
      </c>
      <c r="E11" s="11">
        <v>0.384</v>
      </c>
      <c r="F11" s="11">
        <v>0.215</v>
      </c>
      <c r="G11" s="11">
        <v>0.307</v>
      </c>
      <c r="H11" s="12">
        <f>31.4-18*0.25</f>
        <v>26.9</v>
      </c>
      <c r="I11" s="12">
        <f>43.15-25*0.25</f>
        <v>36.9</v>
      </c>
      <c r="J11" s="12">
        <f>H11</f>
        <v>26.9</v>
      </c>
      <c r="K11" s="12">
        <f>44.4-30*0.25</f>
        <v>36.9</v>
      </c>
      <c r="L11" s="12">
        <f>54.95-0.25*35</f>
        <v>46.2</v>
      </c>
      <c r="M11" s="12">
        <f>40.85-25*0.25</f>
        <v>34.6</v>
      </c>
      <c r="N11" s="7" t="s">
        <v>39</v>
      </c>
      <c r="O11" s="14">
        <v>39448</v>
      </c>
      <c r="P11" s="11">
        <v>0.65</v>
      </c>
      <c r="Q11" s="11">
        <v>0.404</v>
      </c>
      <c r="R11" s="11">
        <v>0.65</v>
      </c>
      <c r="S11" s="11">
        <v>0.584</v>
      </c>
      <c r="T11" s="11">
        <v>0.65</v>
      </c>
      <c r="U11" s="11">
        <v>0.65</v>
      </c>
    </row>
    <row r="12" spans="1:21" s="13" customFormat="1" ht="29.25" customHeight="1">
      <c r="A12" s="7">
        <v>6</v>
      </c>
      <c r="B12" s="7" t="s">
        <v>40</v>
      </c>
      <c r="C12" s="7" t="s">
        <v>41</v>
      </c>
      <c r="D12" s="8">
        <v>39203</v>
      </c>
      <c r="E12" s="11">
        <v>0.4586</v>
      </c>
      <c r="F12" s="11">
        <v>0.3884</v>
      </c>
      <c r="G12" s="11">
        <v>0.4385</v>
      </c>
      <c r="H12" s="12">
        <v>28</v>
      </c>
      <c r="I12" s="12">
        <v>42</v>
      </c>
      <c r="J12" s="12">
        <v>26.67</v>
      </c>
      <c r="K12" s="12">
        <v>46.67</v>
      </c>
      <c r="L12" s="12">
        <v>60</v>
      </c>
      <c r="M12" s="12">
        <v>40.66</v>
      </c>
      <c r="N12" s="7" t="s">
        <v>42</v>
      </c>
      <c r="O12" s="14">
        <v>39203</v>
      </c>
      <c r="P12" s="11">
        <v>0.5134</v>
      </c>
      <c r="Q12" s="11">
        <v>0.482</v>
      </c>
      <c r="R12" s="11">
        <v>0.5134</v>
      </c>
      <c r="S12" s="11">
        <v>0.5682</v>
      </c>
      <c r="T12" s="11">
        <v>0.5134</v>
      </c>
      <c r="U12" s="11">
        <v>0.66</v>
      </c>
    </row>
    <row r="13" spans="1:21" s="13" customFormat="1" ht="29.25" customHeight="1">
      <c r="A13" s="7">
        <v>7</v>
      </c>
      <c r="B13" s="7" t="s">
        <v>43</v>
      </c>
      <c r="C13" s="7" t="s">
        <v>44</v>
      </c>
      <c r="D13" s="8">
        <v>39264</v>
      </c>
      <c r="E13" s="11">
        <v>0.1933</v>
      </c>
      <c r="F13" s="11">
        <v>0.164</v>
      </c>
      <c r="G13" s="11">
        <v>0.164</v>
      </c>
      <c r="H13" s="12">
        <v>21</v>
      </c>
      <c r="I13" s="12">
        <v>30</v>
      </c>
      <c r="J13" s="12">
        <v>21</v>
      </c>
      <c r="K13" s="12">
        <v>34.8</v>
      </c>
      <c r="L13" s="12">
        <v>42</v>
      </c>
      <c r="M13" s="12">
        <v>29.1</v>
      </c>
      <c r="N13" s="7" t="s">
        <v>45</v>
      </c>
      <c r="O13" s="14">
        <v>39264</v>
      </c>
      <c r="P13" s="11">
        <v>0.4625</v>
      </c>
      <c r="Q13" s="11">
        <v>0.3831</v>
      </c>
      <c r="R13" s="11">
        <v>0.4625</v>
      </c>
      <c r="S13" s="11">
        <v>0.455</v>
      </c>
      <c r="T13" s="11">
        <v>0.4625</v>
      </c>
      <c r="U13" s="11">
        <v>0.4625</v>
      </c>
    </row>
    <row r="14" spans="1:21" s="13" customFormat="1" ht="29.25" customHeight="1">
      <c r="A14" s="7">
        <v>8</v>
      </c>
      <c r="B14" s="7" t="s">
        <v>46</v>
      </c>
      <c r="C14" s="7" t="s">
        <v>87</v>
      </c>
      <c r="D14" s="8">
        <v>38991</v>
      </c>
      <c r="E14" s="11">
        <v>0.05</v>
      </c>
      <c r="F14" s="11">
        <v>0.03</v>
      </c>
      <c r="G14" s="11">
        <v>0.04</v>
      </c>
      <c r="H14" s="12">
        <v>20.58</v>
      </c>
      <c r="I14" s="12">
        <v>34.3</v>
      </c>
      <c r="J14" s="12">
        <v>20.58</v>
      </c>
      <c r="K14" s="12">
        <v>34.3</v>
      </c>
      <c r="L14" s="12">
        <v>48.02</v>
      </c>
      <c r="M14" s="12">
        <v>37.73</v>
      </c>
      <c r="N14" s="7" t="s">
        <v>88</v>
      </c>
      <c r="O14" s="14">
        <v>38991</v>
      </c>
      <c r="P14" s="11">
        <v>0.03</v>
      </c>
      <c r="Q14" s="11">
        <v>0.05</v>
      </c>
      <c r="R14" s="11">
        <v>0.02</v>
      </c>
      <c r="S14" s="11">
        <v>0.05</v>
      </c>
      <c r="T14" s="11">
        <v>0.03</v>
      </c>
      <c r="U14" s="11">
        <v>0.02</v>
      </c>
    </row>
    <row r="15" spans="1:21" s="13" customFormat="1" ht="29.25" customHeight="1">
      <c r="A15" s="7">
        <v>9</v>
      </c>
      <c r="B15" s="7" t="s">
        <v>47</v>
      </c>
      <c r="C15" s="7" t="s">
        <v>48</v>
      </c>
      <c r="D15" s="8">
        <v>39448</v>
      </c>
      <c r="E15" s="11">
        <v>0.212</v>
      </c>
      <c r="F15" s="11">
        <v>0.181</v>
      </c>
      <c r="G15" s="11">
        <v>0.195</v>
      </c>
      <c r="H15" s="12">
        <v>24.5</v>
      </c>
      <c r="I15" s="12">
        <v>33.75</v>
      </c>
      <c r="J15" s="12">
        <v>24.5</v>
      </c>
      <c r="K15" s="12">
        <v>33.5</v>
      </c>
      <c r="L15" s="12">
        <v>39.25</v>
      </c>
      <c r="M15" s="12">
        <v>33.75</v>
      </c>
      <c r="N15" s="7" t="s">
        <v>49</v>
      </c>
      <c r="O15" s="14">
        <v>39448</v>
      </c>
      <c r="P15" s="11">
        <v>0.2496</v>
      </c>
      <c r="Q15" s="11">
        <v>0.2278</v>
      </c>
      <c r="R15" s="11">
        <v>0.2345</v>
      </c>
      <c r="S15" s="11">
        <v>0.242</v>
      </c>
      <c r="T15" s="11">
        <v>0.2687</v>
      </c>
      <c r="U15" s="11">
        <v>0.286</v>
      </c>
    </row>
    <row r="16" spans="1:21" s="13" customFormat="1" ht="29.25" customHeight="1">
      <c r="A16" s="7">
        <v>10</v>
      </c>
      <c r="B16" s="7" t="s">
        <v>50</v>
      </c>
      <c r="C16" s="7" t="s">
        <v>51</v>
      </c>
      <c r="D16" s="8">
        <v>39448</v>
      </c>
      <c r="E16" s="11">
        <v>0.3782</v>
      </c>
      <c r="F16" s="11">
        <v>0.2571</v>
      </c>
      <c r="G16" s="11">
        <v>0.4</v>
      </c>
      <c r="H16" s="12">
        <v>35</v>
      </c>
      <c r="I16" s="12">
        <v>48</v>
      </c>
      <c r="J16" s="12">
        <v>35</v>
      </c>
      <c r="K16" s="12">
        <v>55</v>
      </c>
      <c r="L16" s="12">
        <v>60</v>
      </c>
      <c r="M16" s="12">
        <v>50</v>
      </c>
      <c r="N16" s="7" t="s">
        <v>52</v>
      </c>
      <c r="O16" s="14">
        <v>39448</v>
      </c>
      <c r="P16" s="11">
        <v>0.595</v>
      </c>
      <c r="Q16" s="11">
        <v>0.426</v>
      </c>
      <c r="R16" s="11">
        <v>0.595</v>
      </c>
      <c r="S16" s="11">
        <v>0.655</v>
      </c>
      <c r="T16" s="11">
        <v>0.4925</v>
      </c>
      <c r="U16" s="11">
        <v>0.4925</v>
      </c>
    </row>
    <row r="17" spans="1:21" s="13" customFormat="1" ht="29.25" customHeight="1">
      <c r="A17" s="7">
        <v>11</v>
      </c>
      <c r="B17" s="7" t="s">
        <v>53</v>
      </c>
      <c r="C17" s="7" t="s">
        <v>54</v>
      </c>
      <c r="D17" s="8">
        <v>38869</v>
      </c>
      <c r="E17" s="11">
        <v>0.0748</v>
      </c>
      <c r="F17" s="11">
        <v>0.0625</v>
      </c>
      <c r="G17" s="11">
        <v>0.061</v>
      </c>
      <c r="H17" s="12">
        <v>19.7</v>
      </c>
      <c r="I17" s="12">
        <v>26.8</v>
      </c>
      <c r="J17" s="12">
        <v>20</v>
      </c>
      <c r="K17" s="12">
        <v>33.3</v>
      </c>
      <c r="L17" s="12">
        <v>38</v>
      </c>
      <c r="M17" s="12">
        <v>26.8</v>
      </c>
      <c r="N17" s="7" t="s">
        <v>55</v>
      </c>
      <c r="O17" s="14">
        <v>38869</v>
      </c>
      <c r="P17" s="11">
        <v>0.1005</v>
      </c>
      <c r="Q17" s="11">
        <v>0.1075</v>
      </c>
      <c r="R17" s="11">
        <v>0.1005</v>
      </c>
      <c r="S17" s="11">
        <v>0.1075</v>
      </c>
      <c r="T17" s="11">
        <v>0.1005</v>
      </c>
      <c r="U17" s="11">
        <v>0.1005</v>
      </c>
    </row>
    <row r="18" spans="1:21" s="13" customFormat="1" ht="29.25" customHeight="1">
      <c r="A18" s="7">
        <v>12</v>
      </c>
      <c r="B18" s="7" t="s">
        <v>56</v>
      </c>
      <c r="C18" s="7" t="s">
        <v>57</v>
      </c>
      <c r="D18" s="8">
        <v>39448</v>
      </c>
      <c r="E18" s="11">
        <v>0.44</v>
      </c>
      <c r="F18" s="11">
        <v>0.254</v>
      </c>
      <c r="G18" s="11">
        <v>0.3592</v>
      </c>
      <c r="H18" s="12">
        <f>30.42-18*0.25</f>
        <v>25.92</v>
      </c>
      <c r="I18" s="12">
        <f>42.25-25*0.25</f>
        <v>36</v>
      </c>
      <c r="J18" s="12">
        <f>30.42-18*0.25</f>
        <v>25.92</v>
      </c>
      <c r="K18" s="12">
        <f>44.22-30*0.25</f>
        <v>36.72</v>
      </c>
      <c r="L18" s="12">
        <f>53.39-35*0.25</f>
        <v>44.64</v>
      </c>
      <c r="M18" s="12">
        <f>40.23-25*0.25</f>
        <v>33.98</v>
      </c>
      <c r="N18" s="7" t="s">
        <v>58</v>
      </c>
      <c r="O18" s="14">
        <v>39448</v>
      </c>
      <c r="P18" s="11">
        <v>0.4994</v>
      </c>
      <c r="Q18" s="11">
        <v>0.2573</v>
      </c>
      <c r="R18" s="11">
        <v>0.4994</v>
      </c>
      <c r="S18" s="11">
        <v>0.4443</v>
      </c>
      <c r="T18" s="11">
        <v>0.4994</v>
      </c>
      <c r="U18" s="11">
        <v>0.5574</v>
      </c>
    </row>
    <row r="19" spans="1:21" s="13" customFormat="1" ht="29.25" customHeight="1">
      <c r="A19" s="7">
        <v>13</v>
      </c>
      <c r="B19" s="7" t="s">
        <v>59</v>
      </c>
      <c r="C19" s="7" t="s">
        <v>60</v>
      </c>
      <c r="D19" s="8">
        <v>39448</v>
      </c>
      <c r="E19" s="11">
        <v>0.9804</v>
      </c>
      <c r="F19" s="11">
        <v>0.962</v>
      </c>
      <c r="G19" s="11">
        <v>0.96</v>
      </c>
      <c r="H19" s="12">
        <f>44.5-18*0.25</f>
        <v>40</v>
      </c>
      <c r="I19" s="12">
        <f>54.25-25*0.25</f>
        <v>48</v>
      </c>
      <c r="J19" s="12">
        <f>H19</f>
        <v>40</v>
      </c>
      <c r="K19" s="12">
        <f>65.5-0.25*30</f>
        <v>58</v>
      </c>
      <c r="L19" s="12">
        <f>73.75-35*0.25</f>
        <v>65</v>
      </c>
      <c r="M19" s="12">
        <f>55.25-25*0.25</f>
        <v>49</v>
      </c>
      <c r="N19" s="7" t="s">
        <v>61</v>
      </c>
      <c r="O19" s="14">
        <v>39448</v>
      </c>
      <c r="P19" s="11">
        <v>1.207</v>
      </c>
      <c r="Q19" s="11">
        <v>1.11</v>
      </c>
      <c r="R19" s="11">
        <v>0.8288</v>
      </c>
      <c r="S19" s="11">
        <v>1.2325</v>
      </c>
      <c r="T19" s="11">
        <v>1.207</v>
      </c>
      <c r="U19" s="11">
        <v>0.8288</v>
      </c>
    </row>
    <row r="20" spans="1:21" s="13" customFormat="1" ht="29.25" customHeight="1">
      <c r="A20" s="7">
        <v>14</v>
      </c>
      <c r="B20" s="7" t="s">
        <v>62</v>
      </c>
      <c r="C20" s="7" t="s">
        <v>63</v>
      </c>
      <c r="D20" s="8">
        <v>39295</v>
      </c>
      <c r="E20" s="11">
        <v>0.1808</v>
      </c>
      <c r="F20" s="11">
        <v>0.1561</v>
      </c>
      <c r="G20" s="11">
        <v>0.152</v>
      </c>
      <c r="H20" s="12">
        <v>23.6</v>
      </c>
      <c r="I20" s="12">
        <v>31.4</v>
      </c>
      <c r="J20" s="12">
        <v>23.6</v>
      </c>
      <c r="K20" s="12">
        <v>35.7</v>
      </c>
      <c r="L20" s="12">
        <v>44.6</v>
      </c>
      <c r="M20" s="12">
        <v>30.8</v>
      </c>
      <c r="N20" s="7" t="s">
        <v>64</v>
      </c>
      <c r="O20" s="14">
        <v>39295</v>
      </c>
      <c r="P20" s="11">
        <v>0.1442</v>
      </c>
      <c r="Q20" s="11">
        <v>0.1455</v>
      </c>
      <c r="R20" s="11">
        <v>0.1442</v>
      </c>
      <c r="S20" s="11">
        <v>0.124</v>
      </c>
      <c r="T20" s="11">
        <v>0.1442</v>
      </c>
      <c r="U20" s="11">
        <v>0.165</v>
      </c>
    </row>
    <row r="21" spans="1:21" s="13" customFormat="1" ht="29.25" customHeight="1">
      <c r="A21" s="7">
        <v>15</v>
      </c>
      <c r="B21" s="7" t="s">
        <v>65</v>
      </c>
      <c r="C21" s="7" t="s">
        <v>66</v>
      </c>
      <c r="D21" s="8">
        <v>39295</v>
      </c>
      <c r="E21" s="11">
        <v>0.305</v>
      </c>
      <c r="F21" s="11">
        <v>0.177</v>
      </c>
      <c r="G21" s="11">
        <v>0.392</v>
      </c>
      <c r="H21" s="15">
        <v>23.43</v>
      </c>
      <c r="I21" s="15">
        <v>32.65</v>
      </c>
      <c r="J21" s="15">
        <v>23.43</v>
      </c>
      <c r="K21" s="15">
        <v>34.8</v>
      </c>
      <c r="L21" s="15">
        <v>40.6</v>
      </c>
      <c r="M21" s="15">
        <v>34.8</v>
      </c>
      <c r="N21" s="7" t="s">
        <v>67</v>
      </c>
      <c r="O21" s="14">
        <v>39295</v>
      </c>
      <c r="P21" s="16">
        <v>0.3982</v>
      </c>
      <c r="Q21" s="11">
        <v>0.4542</v>
      </c>
      <c r="R21" s="11">
        <v>0.4122</v>
      </c>
      <c r="S21" s="11">
        <v>0.4794</v>
      </c>
      <c r="T21" s="11">
        <v>0.4122</v>
      </c>
      <c r="U21" s="11">
        <v>0.447</v>
      </c>
    </row>
    <row r="22" spans="1:21" s="13" customFormat="1" ht="29.25" customHeight="1">
      <c r="A22" s="7">
        <v>16</v>
      </c>
      <c r="B22" s="7" t="s">
        <v>68</v>
      </c>
      <c r="C22" s="7" t="s">
        <v>69</v>
      </c>
      <c r="D22" s="8">
        <v>39264</v>
      </c>
      <c r="E22" s="11">
        <v>0.178</v>
      </c>
      <c r="F22" s="11">
        <v>0.0902</v>
      </c>
      <c r="G22" s="11">
        <v>0.14</v>
      </c>
      <c r="H22" s="12">
        <v>22.5</v>
      </c>
      <c r="I22" s="12">
        <v>29</v>
      </c>
      <c r="J22" s="12">
        <v>22.5</v>
      </c>
      <c r="K22" s="12">
        <v>32</v>
      </c>
      <c r="L22" s="12">
        <v>38</v>
      </c>
      <c r="M22" s="12">
        <v>28.5</v>
      </c>
      <c r="N22" s="7" t="s">
        <v>70</v>
      </c>
      <c r="O22" s="14">
        <v>39264</v>
      </c>
      <c r="P22" s="11">
        <v>0.1855</v>
      </c>
      <c r="Q22" s="11">
        <v>0.128</v>
      </c>
      <c r="R22" s="11">
        <v>0.1855</v>
      </c>
      <c r="S22" s="11">
        <v>0.176</v>
      </c>
      <c r="T22" s="11">
        <v>0.1875</v>
      </c>
      <c r="U22" s="11">
        <v>0.187</v>
      </c>
    </row>
    <row r="23" spans="1:21" s="13" customFormat="1" ht="29.25" customHeight="1">
      <c r="A23" s="7">
        <v>17</v>
      </c>
      <c r="B23" s="7" t="s">
        <v>71</v>
      </c>
      <c r="C23" s="7" t="s">
        <v>72</v>
      </c>
      <c r="D23" s="8">
        <v>39448</v>
      </c>
      <c r="E23" s="11">
        <v>0.6156</v>
      </c>
      <c r="F23" s="11">
        <v>0.6453</v>
      </c>
      <c r="G23" s="11">
        <v>0.6508</v>
      </c>
      <c r="H23" s="12">
        <f>39.5-0.25*18</f>
        <v>35</v>
      </c>
      <c r="I23" s="12">
        <f>58.25-25*0.25</f>
        <v>52</v>
      </c>
      <c r="J23" s="12">
        <f>39.5-0.25*18</f>
        <v>35</v>
      </c>
      <c r="K23" s="12">
        <f>64.5-30*0.25</f>
        <v>57</v>
      </c>
      <c r="L23" s="12">
        <f>73.75-35*0.25</f>
        <v>65</v>
      </c>
      <c r="M23" s="12">
        <f>62.25-25*0.25</f>
        <v>56</v>
      </c>
      <c r="N23" s="7" t="s">
        <v>73</v>
      </c>
      <c r="O23" s="14">
        <v>39448</v>
      </c>
      <c r="P23" s="11">
        <v>0.7521</v>
      </c>
      <c r="Q23" s="11">
        <v>0.7157</v>
      </c>
      <c r="R23" s="11">
        <v>0.7141</v>
      </c>
      <c r="S23" s="11">
        <v>0.9106</v>
      </c>
      <c r="T23" s="11">
        <v>0.7565</v>
      </c>
      <c r="U23" s="11">
        <v>0.7813</v>
      </c>
    </row>
    <row r="24" spans="1:21" s="13" customFormat="1" ht="29.25" customHeight="1">
      <c r="A24" s="7">
        <v>18</v>
      </c>
      <c r="B24" s="7" t="s">
        <v>74</v>
      </c>
      <c r="C24" s="7" t="s">
        <v>75</v>
      </c>
      <c r="D24" s="8">
        <v>39142</v>
      </c>
      <c r="E24" s="11">
        <v>0.075</v>
      </c>
      <c r="F24" s="11">
        <v>0.03</v>
      </c>
      <c r="G24" s="11">
        <v>0.04</v>
      </c>
      <c r="H24" s="12">
        <v>23</v>
      </c>
      <c r="I24" s="12">
        <v>30</v>
      </c>
      <c r="J24" s="12">
        <v>23</v>
      </c>
      <c r="K24" s="12">
        <v>35</v>
      </c>
      <c r="L24" s="12">
        <v>38</v>
      </c>
      <c r="M24" s="12">
        <v>30</v>
      </c>
      <c r="N24" s="7" t="s">
        <v>86</v>
      </c>
      <c r="O24" s="14">
        <v>37502</v>
      </c>
      <c r="P24" s="11">
        <v>0.066</v>
      </c>
      <c r="Q24" s="11">
        <v>0.021</v>
      </c>
      <c r="R24" s="11">
        <v>0.06</v>
      </c>
      <c r="S24" s="11">
        <v>0.091</v>
      </c>
      <c r="T24" s="11">
        <v>0.057</v>
      </c>
      <c r="U24" s="11">
        <v>0.077</v>
      </c>
    </row>
    <row r="25" spans="1:21" s="13" customFormat="1" ht="29.25" customHeight="1">
      <c r="A25" s="7">
        <v>19</v>
      </c>
      <c r="B25" s="7" t="s">
        <v>76</v>
      </c>
      <c r="C25" s="7" t="s">
        <v>83</v>
      </c>
      <c r="D25" s="8">
        <v>39264</v>
      </c>
      <c r="E25" s="11">
        <v>0.86</v>
      </c>
      <c r="F25" s="11">
        <v>0.62</v>
      </c>
      <c r="G25" s="11">
        <v>0.78</v>
      </c>
      <c r="H25" s="12">
        <v>26</v>
      </c>
      <c r="I25" s="12">
        <v>49</v>
      </c>
      <c r="J25" s="12">
        <v>26</v>
      </c>
      <c r="K25" s="12">
        <v>50</v>
      </c>
      <c r="L25" s="12">
        <v>51</v>
      </c>
      <c r="M25" s="12">
        <v>44</v>
      </c>
      <c r="N25" s="7" t="s">
        <v>84</v>
      </c>
      <c r="O25" s="14">
        <v>39234</v>
      </c>
      <c r="P25" s="11">
        <v>1.29</v>
      </c>
      <c r="Q25" s="11">
        <v>0.94</v>
      </c>
      <c r="R25" s="11">
        <v>1.29</v>
      </c>
      <c r="S25" s="11">
        <v>1.22</v>
      </c>
      <c r="T25" s="11">
        <v>1.29</v>
      </c>
      <c r="U25" s="11">
        <v>1.29</v>
      </c>
    </row>
    <row r="26" spans="1:21" s="13" customFormat="1" ht="29.25" customHeight="1">
      <c r="A26" s="7">
        <v>20</v>
      </c>
      <c r="B26" s="7" t="s">
        <v>77</v>
      </c>
      <c r="C26" s="7" t="s">
        <v>78</v>
      </c>
      <c r="D26" s="8">
        <v>39326</v>
      </c>
      <c r="E26" s="11">
        <v>0.3504</v>
      </c>
      <c r="F26" s="11">
        <v>0.2593</v>
      </c>
      <c r="G26" s="11">
        <v>0.24</v>
      </c>
      <c r="H26" s="12">
        <v>26.5</v>
      </c>
      <c r="I26" s="12">
        <v>33</v>
      </c>
      <c r="J26" s="12">
        <v>26.5</v>
      </c>
      <c r="K26" s="12">
        <v>37</v>
      </c>
      <c r="L26" s="12">
        <v>42</v>
      </c>
      <c r="M26" s="12">
        <v>31</v>
      </c>
      <c r="N26" s="7" t="s">
        <v>79</v>
      </c>
      <c r="O26" s="14">
        <v>39326</v>
      </c>
      <c r="P26" s="11">
        <v>0.6513</v>
      </c>
      <c r="Q26" s="11">
        <v>0.4768</v>
      </c>
      <c r="R26" s="11">
        <v>0.6513</v>
      </c>
      <c r="S26" s="11">
        <v>0.58</v>
      </c>
      <c r="T26" s="11">
        <v>0.6513</v>
      </c>
      <c r="U26" s="11">
        <v>0.6513</v>
      </c>
    </row>
    <row r="27" spans="1:21" s="13" customFormat="1" ht="29.25" customHeight="1">
      <c r="A27" s="7">
        <v>21</v>
      </c>
      <c r="B27" s="7" t="s">
        <v>80</v>
      </c>
      <c r="C27" s="7" t="s">
        <v>81</v>
      </c>
      <c r="D27" s="8">
        <v>39264</v>
      </c>
      <c r="E27" s="11">
        <v>0.4075</v>
      </c>
      <c r="F27" s="11">
        <v>0.328</v>
      </c>
      <c r="G27" s="11">
        <v>0.396</v>
      </c>
      <c r="H27" s="12">
        <v>25.3</v>
      </c>
      <c r="I27" s="12">
        <v>35.2</v>
      </c>
      <c r="J27" s="12">
        <v>25.3</v>
      </c>
      <c r="K27" s="12">
        <v>39.4</v>
      </c>
      <c r="L27" s="12">
        <v>47.7</v>
      </c>
      <c r="M27" s="12">
        <v>34.9</v>
      </c>
      <c r="N27" s="7" t="s">
        <v>82</v>
      </c>
      <c r="O27" s="14">
        <v>39264</v>
      </c>
      <c r="P27" s="11">
        <v>0.5675</v>
      </c>
      <c r="Q27" s="11">
        <v>0.456</v>
      </c>
      <c r="R27" s="11">
        <v>0.5675</v>
      </c>
      <c r="S27" s="11">
        <v>0.57</v>
      </c>
      <c r="T27" s="11">
        <v>0.5675</v>
      </c>
      <c r="U27" s="11">
        <v>0.5675</v>
      </c>
    </row>
    <row r="28" spans="1:21" s="13" customFormat="1" ht="84" customHeight="1">
      <c r="A28" s="147" t="s">
        <v>85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9"/>
    </row>
  </sheetData>
  <sheetProtection/>
  <mergeCells count="14">
    <mergeCell ref="A1:U1"/>
    <mergeCell ref="N2:U2"/>
    <mergeCell ref="O3:O4"/>
    <mergeCell ref="P3:U3"/>
    <mergeCell ref="N3:N4"/>
    <mergeCell ref="A2:A4"/>
    <mergeCell ref="B2:B4"/>
    <mergeCell ref="A28:U28"/>
    <mergeCell ref="C2:M2"/>
    <mergeCell ref="A5:A7"/>
    <mergeCell ref="E3:G3"/>
    <mergeCell ref="H3:M3"/>
    <mergeCell ref="C3:C4"/>
    <mergeCell ref="D3:D4"/>
  </mergeCells>
  <printOptions/>
  <pageMargins left="0.3937007874015748" right="0.4724409448818898" top="0.5118110236220472" bottom="0.7086614173228347" header="0.2362204724409449" footer="0.5118110236220472"/>
  <pageSetup fitToHeight="2" fitToWidth="1" horizontalDpi="300" verticalDpi="3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0"/>
  <sheetViews>
    <sheetView zoomScale="96" zoomScaleNormal="96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6" sqref="R6"/>
    </sheetView>
  </sheetViews>
  <sheetFormatPr defaultColWidth="13.57421875" defaultRowHeight="12"/>
  <cols>
    <col min="1" max="1" width="10.28125" style="1" customWidth="1"/>
    <col min="2" max="16" width="7.8515625" style="1" customWidth="1"/>
    <col min="17" max="17" width="8.8515625" style="1" customWidth="1"/>
    <col min="18" max="16384" width="13.57421875" style="1" customWidth="1"/>
  </cols>
  <sheetData>
    <row r="1" spans="1:17" ht="21.75" customHeight="1">
      <c r="A1" s="62" t="s">
        <v>291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30" customHeight="1">
      <c r="A2" s="85" t="s">
        <v>289</v>
      </c>
      <c r="B2" s="56" t="s">
        <v>288</v>
      </c>
      <c r="C2" s="56"/>
      <c r="D2" s="56" t="s">
        <v>262</v>
      </c>
      <c r="E2" s="56"/>
      <c r="F2" s="56" t="s">
        <v>266</v>
      </c>
      <c r="G2" s="56"/>
      <c r="H2" s="56" t="s">
        <v>263</v>
      </c>
      <c r="I2" s="56"/>
      <c r="J2" s="56" t="s">
        <v>270</v>
      </c>
      <c r="K2" s="56"/>
      <c r="L2" s="56" t="s">
        <v>268</v>
      </c>
      <c r="M2" s="56"/>
      <c r="N2" s="56" t="s">
        <v>271</v>
      </c>
      <c r="O2" s="56"/>
      <c r="P2" s="56" t="s">
        <v>277</v>
      </c>
      <c r="Q2" s="56" t="s">
        <v>276</v>
      </c>
    </row>
    <row r="3" spans="1:17" ht="12" customHeight="1">
      <c r="A3" s="85" t="s">
        <v>290</v>
      </c>
      <c r="B3" s="60">
        <v>0.05</v>
      </c>
      <c r="C3" s="56"/>
      <c r="D3" s="60">
        <v>0.18</v>
      </c>
      <c r="E3" s="56"/>
      <c r="F3" s="60">
        <v>0.25</v>
      </c>
      <c r="G3" s="56"/>
      <c r="H3" s="60">
        <v>0.22</v>
      </c>
      <c r="I3" s="56"/>
      <c r="J3" s="60">
        <v>0.05</v>
      </c>
      <c r="K3" s="56"/>
      <c r="L3" s="60">
        <v>0.15</v>
      </c>
      <c r="M3" s="56"/>
      <c r="N3" s="60">
        <v>0.1</v>
      </c>
      <c r="O3" s="56"/>
      <c r="P3" s="56"/>
      <c r="Q3" s="56"/>
    </row>
    <row r="4" spans="1:17" ht="57" customHeight="1">
      <c r="A4" s="56" t="s">
        <v>130</v>
      </c>
      <c r="B4" s="85" t="s">
        <v>259</v>
      </c>
      <c r="C4" s="56" t="s">
        <v>274</v>
      </c>
      <c r="D4" s="85" t="s">
        <v>259</v>
      </c>
      <c r="E4" s="56" t="s">
        <v>261</v>
      </c>
      <c r="F4" s="85" t="s">
        <v>259</v>
      </c>
      <c r="G4" s="56" t="s">
        <v>261</v>
      </c>
      <c r="H4" s="85" t="s">
        <v>259</v>
      </c>
      <c r="I4" s="56" t="s">
        <v>261</v>
      </c>
      <c r="J4" s="85" t="s">
        <v>259</v>
      </c>
      <c r="K4" s="56" t="s">
        <v>261</v>
      </c>
      <c r="L4" s="85" t="s">
        <v>259</v>
      </c>
      <c r="M4" s="56" t="s">
        <v>267</v>
      </c>
      <c r="N4" s="85" t="s">
        <v>259</v>
      </c>
      <c r="O4" s="56" t="s">
        <v>261</v>
      </c>
      <c r="P4" s="56"/>
      <c r="Q4" s="56"/>
    </row>
    <row r="5" spans="1:17" ht="52.5" customHeight="1">
      <c r="A5" s="56"/>
      <c r="B5" s="85" t="s">
        <v>272</v>
      </c>
      <c r="C5" s="57"/>
      <c r="D5" s="85" t="s">
        <v>260</v>
      </c>
      <c r="E5" s="57"/>
      <c r="F5" s="85" t="s">
        <v>260</v>
      </c>
      <c r="G5" s="57"/>
      <c r="H5" s="85" t="s">
        <v>260</v>
      </c>
      <c r="I5" s="57"/>
      <c r="J5" s="85" t="s">
        <v>260</v>
      </c>
      <c r="K5" s="57"/>
      <c r="L5" s="85" t="s">
        <v>260</v>
      </c>
      <c r="M5" s="57"/>
      <c r="N5" s="85" t="s">
        <v>260</v>
      </c>
      <c r="O5" s="57"/>
      <c r="P5" s="56"/>
      <c r="Q5" s="56"/>
    </row>
    <row r="6" spans="1:17" ht="113.25" customHeight="1">
      <c r="A6" s="56"/>
      <c r="B6" s="85" t="s">
        <v>273</v>
      </c>
      <c r="C6" s="86" t="s">
        <v>275</v>
      </c>
      <c r="D6" s="85" t="s">
        <v>273</v>
      </c>
      <c r="E6" s="86" t="s">
        <v>275</v>
      </c>
      <c r="F6" s="85" t="s">
        <v>273</v>
      </c>
      <c r="G6" s="86" t="s">
        <v>275</v>
      </c>
      <c r="H6" s="85" t="s">
        <v>273</v>
      </c>
      <c r="I6" s="86" t="s">
        <v>275</v>
      </c>
      <c r="J6" s="85" t="s">
        <v>273</v>
      </c>
      <c r="K6" s="86" t="s">
        <v>275</v>
      </c>
      <c r="L6" s="85" t="s">
        <v>273</v>
      </c>
      <c r="M6" s="86" t="s">
        <v>275</v>
      </c>
      <c r="N6" s="85" t="s">
        <v>273</v>
      </c>
      <c r="O6" s="86" t="s">
        <v>275</v>
      </c>
      <c r="P6" s="86" t="s">
        <v>278</v>
      </c>
      <c r="Q6" s="86" t="s">
        <v>279</v>
      </c>
    </row>
    <row r="7" spans="1:17" ht="19.5" customHeight="1">
      <c r="A7" s="56" t="s">
        <v>264</v>
      </c>
      <c r="B7" s="87">
        <v>18.5</v>
      </c>
      <c r="C7" s="58">
        <f>(B7-B8)/B8</f>
        <v>1.3252890899949723</v>
      </c>
      <c r="D7" s="87">
        <v>76</v>
      </c>
      <c r="E7" s="58">
        <f>(D7-D8)/D8</f>
        <v>0.8491484184914841</v>
      </c>
      <c r="F7" s="87">
        <v>45</v>
      </c>
      <c r="G7" s="58">
        <f>(F7-F8)/F8</f>
        <v>0.12219451371571069</v>
      </c>
      <c r="H7" s="87">
        <v>350</v>
      </c>
      <c r="I7" s="58">
        <f>(H7-H8)/H8</f>
        <v>0.8421052631578947</v>
      </c>
      <c r="J7" s="87">
        <v>6</v>
      </c>
      <c r="K7" s="58">
        <f>(J7-J8)/J8</f>
        <v>0.12994350282485884</v>
      </c>
      <c r="L7" s="88">
        <v>18.5</v>
      </c>
      <c r="M7" s="58">
        <f>(L7-L8)/L8</f>
        <v>1.2699386503067485</v>
      </c>
      <c r="N7" s="87">
        <v>6.5</v>
      </c>
      <c r="O7" s="58">
        <f>(N7-N8)/N8</f>
        <v>1.8888888888888888</v>
      </c>
      <c r="P7" s="58">
        <f>C7*$B$3+E7*$D$3+G7*$F$3+I7*$H$3+K7*$J$3+O7*$N$3+M7*$L$3</f>
        <v>0.8207998177280244</v>
      </c>
      <c r="Q7" s="59">
        <v>0.74</v>
      </c>
    </row>
    <row r="8" spans="1:17" ht="19.5" customHeight="1">
      <c r="A8" s="56"/>
      <c r="B8" s="87">
        <v>7.956</v>
      </c>
      <c r="C8" s="58"/>
      <c r="D8" s="87">
        <v>41.1</v>
      </c>
      <c r="E8" s="58"/>
      <c r="F8" s="87">
        <v>40.1</v>
      </c>
      <c r="G8" s="58"/>
      <c r="H8" s="87">
        <v>190</v>
      </c>
      <c r="I8" s="58"/>
      <c r="J8" s="87">
        <v>5.31</v>
      </c>
      <c r="K8" s="58"/>
      <c r="L8" s="88">
        <v>8.15</v>
      </c>
      <c r="M8" s="58"/>
      <c r="N8" s="87">
        <v>2.25</v>
      </c>
      <c r="O8" s="58"/>
      <c r="P8" s="58"/>
      <c r="Q8" s="59"/>
    </row>
    <row r="9" spans="1:17" ht="13.5" customHeight="1">
      <c r="A9" s="56"/>
      <c r="B9" s="57">
        <v>6.427</v>
      </c>
      <c r="C9" s="58">
        <f>(B7-B9)/B9</f>
        <v>1.8784814065660496</v>
      </c>
      <c r="D9" s="57">
        <v>37.37</v>
      </c>
      <c r="E9" s="58">
        <f>(D7-D9)/D9</f>
        <v>1.0337168852020338</v>
      </c>
      <c r="F9" s="57">
        <v>39.6</v>
      </c>
      <c r="G9" s="58">
        <f>(F7-F9)/F9</f>
        <v>0.13636363636363633</v>
      </c>
      <c r="H9" s="57">
        <v>184</v>
      </c>
      <c r="I9" s="58">
        <f>(H7-H9)/H9</f>
        <v>0.9021739130434783</v>
      </c>
      <c r="J9" s="57">
        <v>4.286</v>
      </c>
      <c r="K9" s="58">
        <f>(J7-J9)/J9</f>
        <v>0.39990667288847426</v>
      </c>
      <c r="L9" s="61">
        <v>9</v>
      </c>
      <c r="M9" s="58">
        <f>(L7-L9)/L9</f>
        <v>1.0555555555555556</v>
      </c>
      <c r="N9" s="57">
        <v>2.13</v>
      </c>
      <c r="O9" s="58">
        <f>(N7-N9)/N9</f>
        <v>2.051643192488263</v>
      </c>
      <c r="P9" s="58">
        <f>C9*$B$3+E9*$D$3+G9*$F$3+I9*$H$3+K9*$J$3+O9*$N$3+M9*$L$3</f>
        <v>0.8960552658517261</v>
      </c>
      <c r="Q9" s="59">
        <v>0.84</v>
      </c>
    </row>
    <row r="10" spans="1:17" ht="13.5" customHeight="1">
      <c r="A10" s="56"/>
      <c r="B10" s="57"/>
      <c r="C10" s="58"/>
      <c r="D10" s="57"/>
      <c r="E10" s="58"/>
      <c r="F10" s="57"/>
      <c r="G10" s="58"/>
      <c r="H10" s="57"/>
      <c r="I10" s="58"/>
      <c r="J10" s="57"/>
      <c r="K10" s="58"/>
      <c r="L10" s="61"/>
      <c r="M10" s="58"/>
      <c r="N10" s="57"/>
      <c r="O10" s="58"/>
      <c r="P10" s="58"/>
      <c r="Q10" s="59"/>
    </row>
    <row r="11" spans="1:17" ht="19.5" customHeight="1">
      <c r="A11" s="56" t="s">
        <v>265</v>
      </c>
      <c r="B11" s="87">
        <v>16</v>
      </c>
      <c r="C11" s="58">
        <f>(B11-B12)/B12</f>
        <v>1.0110608345902463</v>
      </c>
      <c r="D11" s="87">
        <v>50</v>
      </c>
      <c r="E11" s="58">
        <f>(D11-D12)/D12</f>
        <v>0.21654501216545008</v>
      </c>
      <c r="F11" s="87">
        <v>40</v>
      </c>
      <c r="G11" s="58">
        <f>(F11-F12)/F12</f>
        <v>-0.0024937655860349482</v>
      </c>
      <c r="H11" s="87">
        <v>385</v>
      </c>
      <c r="I11" s="58">
        <f>(H11-H12)/H12</f>
        <v>1.0263157894736843</v>
      </c>
      <c r="J11" s="87">
        <v>5</v>
      </c>
      <c r="K11" s="58">
        <f>(J11-J12)/J12</f>
        <v>-0.05838041431261763</v>
      </c>
      <c r="L11" s="88">
        <v>15</v>
      </c>
      <c r="M11" s="58">
        <f>(L11-L12)/L12</f>
        <v>0.8404907975460122</v>
      </c>
      <c r="N11" s="87">
        <v>4.5</v>
      </c>
      <c r="O11" s="58">
        <f>(N11-N12)/N12</f>
        <v>1</v>
      </c>
      <c r="P11" s="58">
        <f>C11*$B$3+E11*$D$3+G11*$F$3+I11*$H$3+K11*$J$3+O11*$N$3+M11*$L$3</f>
        <v>0.5378517751232661</v>
      </c>
      <c r="Q11" s="59">
        <v>0.6066</v>
      </c>
    </row>
    <row r="12" spans="1:17" ht="19.5" customHeight="1">
      <c r="A12" s="56"/>
      <c r="B12" s="87">
        <v>7.956</v>
      </c>
      <c r="C12" s="58"/>
      <c r="D12" s="87">
        <v>41.1</v>
      </c>
      <c r="E12" s="58"/>
      <c r="F12" s="87">
        <v>40.1</v>
      </c>
      <c r="G12" s="58"/>
      <c r="H12" s="87">
        <v>190</v>
      </c>
      <c r="I12" s="58"/>
      <c r="J12" s="87">
        <v>5.31</v>
      </c>
      <c r="K12" s="58"/>
      <c r="L12" s="88">
        <v>8.15</v>
      </c>
      <c r="M12" s="58"/>
      <c r="N12" s="87">
        <v>2.25</v>
      </c>
      <c r="O12" s="58"/>
      <c r="P12" s="58"/>
      <c r="Q12" s="59"/>
    </row>
    <row r="13" spans="1:17" ht="12.75" customHeight="1">
      <c r="A13" s="56"/>
      <c r="B13" s="57">
        <v>6.427</v>
      </c>
      <c r="C13" s="58">
        <f>(B11-B13)/B13</f>
        <v>1.4894974327057726</v>
      </c>
      <c r="D13" s="57">
        <v>37.37</v>
      </c>
      <c r="E13" s="58">
        <f>(D11-D13)/D13</f>
        <v>0.3379716350013381</v>
      </c>
      <c r="F13" s="57">
        <v>39.6</v>
      </c>
      <c r="G13" s="58">
        <f>(F11-F13)/F13</f>
        <v>0.010101010101010065</v>
      </c>
      <c r="H13" s="57">
        <v>184</v>
      </c>
      <c r="I13" s="58">
        <f>(H11-H13)/H13</f>
        <v>1.0923913043478262</v>
      </c>
      <c r="J13" s="57">
        <v>4.286</v>
      </c>
      <c r="K13" s="58">
        <f>(J11-J13)/J13</f>
        <v>0.16658889407372854</v>
      </c>
      <c r="L13" s="61">
        <v>9</v>
      </c>
      <c r="M13" s="58">
        <f>(L11-L13)/L13</f>
        <v>0.6666666666666666</v>
      </c>
      <c r="N13" s="57">
        <v>2.13</v>
      </c>
      <c r="O13" s="58">
        <f>(N11-N13)/N13</f>
        <v>1.1126760563380282</v>
      </c>
      <c r="P13" s="58">
        <f>C13*$B$3+E13*$D$3+G13*$F$3+I13*$H$3+K13*$J$3+O13*$N$3+M13*$L$3</f>
        <v>0.597758155754793</v>
      </c>
      <c r="Q13" s="59">
        <v>0.588</v>
      </c>
    </row>
    <row r="14" spans="1:17" ht="7.5" customHeight="1">
      <c r="A14" s="56"/>
      <c r="B14" s="57"/>
      <c r="C14" s="58"/>
      <c r="D14" s="57"/>
      <c r="E14" s="58"/>
      <c r="F14" s="57"/>
      <c r="G14" s="58"/>
      <c r="H14" s="57"/>
      <c r="I14" s="58"/>
      <c r="J14" s="57"/>
      <c r="K14" s="58"/>
      <c r="L14" s="61"/>
      <c r="M14" s="58"/>
      <c r="N14" s="57"/>
      <c r="O14" s="58"/>
      <c r="P14" s="58"/>
      <c r="Q14" s="59"/>
    </row>
    <row r="15" spans="1:17" ht="14.25" customHeight="1">
      <c r="A15" s="56" t="s">
        <v>280</v>
      </c>
      <c r="B15" s="87">
        <v>10.89</v>
      </c>
      <c r="C15" s="58">
        <f>(B15-B16)/B16</f>
        <v>0.36877828054298645</v>
      </c>
      <c r="D15" s="87">
        <v>48.95</v>
      </c>
      <c r="E15" s="58">
        <f>(D15-D16)/D16</f>
        <v>0.19099756690997569</v>
      </c>
      <c r="F15" s="87">
        <v>39.9</v>
      </c>
      <c r="G15" s="58">
        <f>(F15-F16)/F16</f>
        <v>-0.0049875311720698964</v>
      </c>
      <c r="H15" s="87">
        <v>334.62</v>
      </c>
      <c r="I15" s="58">
        <f>(H15-H16)/H16</f>
        <v>0.7611578947368421</v>
      </c>
      <c r="J15" s="87">
        <v>4.36</v>
      </c>
      <c r="K15" s="58">
        <f>(J15-J16)/J16</f>
        <v>-0.1789077212806025</v>
      </c>
      <c r="L15" s="88">
        <v>16.72</v>
      </c>
      <c r="M15" s="58">
        <f>(L15-L16)/L16</f>
        <v>1.051533742331288</v>
      </c>
      <c r="N15" s="87">
        <v>3.85</v>
      </c>
      <c r="O15" s="58">
        <f>(N15-N16)/N16</f>
        <v>0.7111111111111111</v>
      </c>
      <c r="P15" s="29">
        <f>C15*$B$3+E15*$D$3+G15*$F$3+I15*$H$3+K15*$J$3+O15*$N$3+M15*$L$3</f>
        <v>0.43892211651680696</v>
      </c>
      <c r="Q15" s="64">
        <v>0.9035</v>
      </c>
    </row>
    <row r="16" spans="1:17" ht="16.5" customHeight="1">
      <c r="A16" s="56"/>
      <c r="B16" s="87">
        <v>7.956</v>
      </c>
      <c r="C16" s="58"/>
      <c r="D16" s="87">
        <v>41.1</v>
      </c>
      <c r="E16" s="58"/>
      <c r="F16" s="87">
        <v>40.1</v>
      </c>
      <c r="G16" s="58"/>
      <c r="H16" s="87">
        <v>190</v>
      </c>
      <c r="I16" s="58"/>
      <c r="J16" s="87">
        <v>5.31</v>
      </c>
      <c r="K16" s="58"/>
      <c r="L16" s="88">
        <v>8.15</v>
      </c>
      <c r="M16" s="58"/>
      <c r="N16" s="87">
        <v>2.25</v>
      </c>
      <c r="O16" s="58"/>
      <c r="P16" s="29"/>
      <c r="Q16" s="64"/>
    </row>
    <row r="17" spans="1:17" ht="10.5" customHeight="1">
      <c r="A17" s="56"/>
      <c r="B17" s="57">
        <v>6.427</v>
      </c>
      <c r="C17" s="58">
        <f>(B15-B17)/B17</f>
        <v>0.6944141901353666</v>
      </c>
      <c r="D17" s="57">
        <v>37.37</v>
      </c>
      <c r="E17" s="58">
        <f>(D15-D17)/D17</f>
        <v>0.30987423066631004</v>
      </c>
      <c r="F17" s="57">
        <v>39.6</v>
      </c>
      <c r="G17" s="58">
        <f>(F15-F17)/F17</f>
        <v>0.007575757575757504</v>
      </c>
      <c r="H17" s="57">
        <v>184</v>
      </c>
      <c r="I17" s="58">
        <f>(H15-H17)/H17</f>
        <v>0.8185869565217392</v>
      </c>
      <c r="J17" s="57">
        <v>4.286</v>
      </c>
      <c r="K17" s="58">
        <f>(J15-J17)/J17</f>
        <v>0.017265515632291353</v>
      </c>
      <c r="L17" s="61">
        <v>9</v>
      </c>
      <c r="M17" s="58">
        <f>(L15-L17)/L17</f>
        <v>0.8577777777777776</v>
      </c>
      <c r="N17" s="57">
        <v>2.13</v>
      </c>
      <c r="O17" s="58">
        <f>(N15-N17)/N17</f>
        <v>0.807511737089202</v>
      </c>
      <c r="P17" s="29">
        <f>C17*$B$3+E17*$D$3+G17*$F$3+I17*$H$3+K17*$J$3+O17*$N$3+M17*$L$3</f>
        <v>0.48276225701262754</v>
      </c>
      <c r="Q17" s="64">
        <v>1.2348</v>
      </c>
    </row>
    <row r="18" spans="1:17" ht="6.75" customHeight="1">
      <c r="A18" s="56"/>
      <c r="B18" s="57"/>
      <c r="C18" s="58"/>
      <c r="D18" s="57"/>
      <c r="E18" s="58"/>
      <c r="F18" s="57"/>
      <c r="G18" s="58"/>
      <c r="H18" s="57"/>
      <c r="I18" s="58"/>
      <c r="J18" s="57"/>
      <c r="K18" s="58"/>
      <c r="L18" s="61"/>
      <c r="M18" s="58"/>
      <c r="N18" s="57"/>
      <c r="O18" s="58"/>
      <c r="P18" s="29"/>
      <c r="Q18" s="64"/>
    </row>
    <row r="19" spans="1:17" ht="19.5" customHeight="1">
      <c r="A19" s="56" t="s">
        <v>281</v>
      </c>
      <c r="B19" s="87">
        <v>20</v>
      </c>
      <c r="C19" s="58">
        <f>(B19-B20)/B20</f>
        <v>1.513826043237808</v>
      </c>
      <c r="D19" s="87">
        <v>60</v>
      </c>
      <c r="E19" s="58">
        <f>(D19-D20)/D20</f>
        <v>0.4598540145985401</v>
      </c>
      <c r="F19" s="87">
        <v>58</v>
      </c>
      <c r="G19" s="58">
        <f>(F19-F20)/F20</f>
        <v>0.44638403990024933</v>
      </c>
      <c r="H19" s="87">
        <v>500</v>
      </c>
      <c r="I19" s="58">
        <f>(H19-H20)/H20</f>
        <v>1.631578947368421</v>
      </c>
      <c r="J19" s="87">
        <v>4.2</v>
      </c>
      <c r="K19" s="58">
        <f>(J19-J20)/J20</f>
        <v>-0.20903954802259878</v>
      </c>
      <c r="L19" s="88">
        <v>17.5</v>
      </c>
      <c r="M19" s="58">
        <f>(L19-L20)/L20</f>
        <v>1.1472392638036808</v>
      </c>
      <c r="N19" s="87">
        <v>4</v>
      </c>
      <c r="O19" s="58">
        <f>(N19-N20)/N20</f>
        <v>0.7777777777777778</v>
      </c>
      <c r="P19" s="29">
        <f>C19*$B$3+E19*$D$3+G19*$F$3+I19*$H$3+K19*$J$3+O19*$N$3+M19*$L$3</f>
        <v>0.8684200931329427</v>
      </c>
      <c r="Q19" s="64">
        <v>0.5642</v>
      </c>
    </row>
    <row r="20" spans="1:17" ht="19.5" customHeight="1">
      <c r="A20" s="56"/>
      <c r="B20" s="87">
        <v>7.956</v>
      </c>
      <c r="C20" s="58"/>
      <c r="D20" s="87">
        <v>41.1</v>
      </c>
      <c r="E20" s="58"/>
      <c r="F20" s="87">
        <v>40.1</v>
      </c>
      <c r="G20" s="58"/>
      <c r="H20" s="87">
        <v>190</v>
      </c>
      <c r="I20" s="58"/>
      <c r="J20" s="87">
        <v>5.31</v>
      </c>
      <c r="K20" s="58"/>
      <c r="L20" s="88">
        <v>8.15</v>
      </c>
      <c r="M20" s="58"/>
      <c r="N20" s="87">
        <v>2.25</v>
      </c>
      <c r="O20" s="58"/>
      <c r="P20" s="29"/>
      <c r="Q20" s="64"/>
    </row>
    <row r="21" spans="1:17" ht="14.25" customHeight="1">
      <c r="A21" s="56"/>
      <c r="B21" s="57">
        <v>6.427</v>
      </c>
      <c r="C21" s="58">
        <f>(B19-B21)/B21</f>
        <v>2.111871790882216</v>
      </c>
      <c r="D21" s="57">
        <v>37.37</v>
      </c>
      <c r="E21" s="58">
        <f>(D19-D21)/D21</f>
        <v>0.6055659620016057</v>
      </c>
      <c r="F21" s="57">
        <v>39.6</v>
      </c>
      <c r="G21" s="58">
        <f>(F19-F21)/F21</f>
        <v>0.4646464646464646</v>
      </c>
      <c r="H21" s="57">
        <v>184</v>
      </c>
      <c r="I21" s="58">
        <f>(H19-H21)/H21</f>
        <v>1.7173913043478262</v>
      </c>
      <c r="J21" s="57">
        <v>4.286</v>
      </c>
      <c r="K21" s="58">
        <f>(J19-J21)/J21</f>
        <v>-0.02006532897806799</v>
      </c>
      <c r="L21" s="61">
        <v>9</v>
      </c>
      <c r="M21" s="58">
        <f>(L19-L21)/L21</f>
        <v>0.9444444444444444</v>
      </c>
      <c r="N21" s="57">
        <v>2.13</v>
      </c>
      <c r="O21" s="58">
        <f>(N19-N21)/N21</f>
        <v>0.8779342723004696</v>
      </c>
      <c r="P21" s="29">
        <f>C21*$B$3+E21*$D$3+G21*$F$3+I21*$H$3+K21*$J$3+O21*$N$3+M21*$L$3</f>
        <v>0.9370399932703479</v>
      </c>
      <c r="Q21" s="64">
        <v>0.7013</v>
      </c>
    </row>
    <row r="22" spans="1:17" ht="9" customHeight="1">
      <c r="A22" s="56"/>
      <c r="B22" s="57"/>
      <c r="C22" s="58"/>
      <c r="D22" s="57"/>
      <c r="E22" s="58"/>
      <c r="F22" s="57"/>
      <c r="G22" s="58"/>
      <c r="H22" s="57"/>
      <c r="I22" s="58"/>
      <c r="J22" s="57"/>
      <c r="K22" s="58"/>
      <c r="L22" s="61"/>
      <c r="M22" s="58"/>
      <c r="N22" s="57"/>
      <c r="O22" s="58"/>
      <c r="P22" s="29"/>
      <c r="Q22" s="64"/>
    </row>
    <row r="23" spans="1:17" ht="19.5" customHeight="1">
      <c r="A23" s="56" t="s">
        <v>282</v>
      </c>
      <c r="B23" s="87">
        <v>13</v>
      </c>
      <c r="C23" s="58">
        <f>(B23-B24)/B24</f>
        <v>0.6339869281045751</v>
      </c>
      <c r="D23" s="87">
        <v>55</v>
      </c>
      <c r="E23" s="58">
        <f>(D23-D24)/D24</f>
        <v>0.3381995133819951</v>
      </c>
      <c r="F23" s="87">
        <v>40</v>
      </c>
      <c r="G23" s="58">
        <f>(F23-F24)/F24</f>
        <v>-0.0024937655860349482</v>
      </c>
      <c r="H23" s="87">
        <v>380</v>
      </c>
      <c r="I23" s="58">
        <f>(H23-H24)/H24</f>
        <v>1</v>
      </c>
      <c r="J23" s="87">
        <v>4.5</v>
      </c>
      <c r="K23" s="58">
        <f>(J23-J24)/J24</f>
        <v>-0.15254237288135586</v>
      </c>
      <c r="L23" s="88">
        <v>14</v>
      </c>
      <c r="M23" s="58">
        <f>(L23-L24)/L24</f>
        <v>0.7177914110429447</v>
      </c>
      <c r="N23" s="87">
        <v>6</v>
      </c>
      <c r="O23" s="58">
        <f>(N23-N24)/N24</f>
        <v>1.6666666666666667</v>
      </c>
      <c r="P23" s="58">
        <f>C23*$B$3+E23*$D$3+G23*$F$3+I23*$H$3+K23*$J$3+O23*$N$3+M23*$L$3</f>
        <v>0.5786600770965198</v>
      </c>
      <c r="Q23" s="59">
        <v>0.5349</v>
      </c>
    </row>
    <row r="24" spans="1:17" ht="19.5" customHeight="1">
      <c r="A24" s="56"/>
      <c r="B24" s="87">
        <v>7.956</v>
      </c>
      <c r="C24" s="58"/>
      <c r="D24" s="87">
        <v>41.1</v>
      </c>
      <c r="E24" s="58"/>
      <c r="F24" s="87">
        <v>40.1</v>
      </c>
      <c r="G24" s="58"/>
      <c r="H24" s="87">
        <v>190</v>
      </c>
      <c r="I24" s="58"/>
      <c r="J24" s="87">
        <v>5.31</v>
      </c>
      <c r="K24" s="58"/>
      <c r="L24" s="88">
        <v>8.15</v>
      </c>
      <c r="M24" s="58"/>
      <c r="N24" s="87">
        <v>2.25</v>
      </c>
      <c r="O24" s="58"/>
      <c r="P24" s="58"/>
      <c r="Q24" s="59"/>
    </row>
    <row r="25" spans="1:17" ht="10.5" customHeight="1">
      <c r="A25" s="56"/>
      <c r="B25" s="57">
        <v>6.427</v>
      </c>
      <c r="C25" s="58">
        <f>(B23-B25)/B25</f>
        <v>1.0227166640734402</v>
      </c>
      <c r="D25" s="57">
        <v>37.37</v>
      </c>
      <c r="E25" s="58">
        <f>(D23-D25)/D25</f>
        <v>0.47176879850147185</v>
      </c>
      <c r="F25" s="57">
        <v>39.6</v>
      </c>
      <c r="G25" s="58">
        <f>(F23-F25)/F25</f>
        <v>0.010101010101010065</v>
      </c>
      <c r="H25" s="57">
        <v>184</v>
      </c>
      <c r="I25" s="58">
        <f>(H23-H25)/H25</f>
        <v>1.065217391304348</v>
      </c>
      <c r="J25" s="57">
        <v>4.286</v>
      </c>
      <c r="K25" s="58">
        <f>(J23-J25)/J25</f>
        <v>0.04993000466635568</v>
      </c>
      <c r="L25" s="61">
        <v>9</v>
      </c>
      <c r="M25" s="58">
        <f>(L23-L25)/L25</f>
        <v>0.5555555555555556</v>
      </c>
      <c r="N25" s="57">
        <v>2.13</v>
      </c>
      <c r="O25" s="58">
        <f>(N23-N25)/N25</f>
        <v>1.8169014084507045</v>
      </c>
      <c r="P25" s="29">
        <f>C25*$B$3+E25*$D$3+G25*$F$3+I25*$H$3+K25*$J$3+O25*$N$3+M25*$L$3</f>
        <v>0.6404472699578676</v>
      </c>
      <c r="Q25" s="64">
        <v>0.8825</v>
      </c>
    </row>
    <row r="26" spans="1:17" ht="6" customHeight="1">
      <c r="A26" s="56"/>
      <c r="B26" s="57"/>
      <c r="C26" s="58"/>
      <c r="D26" s="57"/>
      <c r="E26" s="58"/>
      <c r="F26" s="57"/>
      <c r="G26" s="58"/>
      <c r="H26" s="57"/>
      <c r="I26" s="58"/>
      <c r="J26" s="57"/>
      <c r="K26" s="58"/>
      <c r="L26" s="61"/>
      <c r="M26" s="58"/>
      <c r="N26" s="57"/>
      <c r="O26" s="58"/>
      <c r="P26" s="29"/>
      <c r="Q26" s="64"/>
    </row>
    <row r="27" spans="1:17" ht="13.5" customHeight="1">
      <c r="A27" s="63" t="s">
        <v>283</v>
      </c>
      <c r="B27" s="87"/>
      <c r="C27" s="58"/>
      <c r="D27" s="87"/>
      <c r="E27" s="58"/>
      <c r="F27" s="87"/>
      <c r="G27" s="58"/>
      <c r="H27" s="87"/>
      <c r="I27" s="58"/>
      <c r="J27" s="87"/>
      <c r="K27" s="58"/>
      <c r="L27" s="88"/>
      <c r="M27" s="58"/>
      <c r="N27" s="87"/>
      <c r="O27" s="58"/>
      <c r="P27" s="58"/>
      <c r="Q27" s="59">
        <v>0.3448</v>
      </c>
    </row>
    <row r="28" spans="1:17" ht="21" customHeight="1">
      <c r="A28" s="63"/>
      <c r="B28" s="87">
        <v>7.956</v>
      </c>
      <c r="C28" s="58"/>
      <c r="D28" s="87">
        <v>41.1</v>
      </c>
      <c r="E28" s="58"/>
      <c r="F28" s="87">
        <v>40.1</v>
      </c>
      <c r="G28" s="58"/>
      <c r="H28" s="87">
        <v>190</v>
      </c>
      <c r="I28" s="58"/>
      <c r="J28" s="87">
        <v>5.31</v>
      </c>
      <c r="K28" s="58"/>
      <c r="L28" s="88">
        <v>8.15</v>
      </c>
      <c r="M28" s="58"/>
      <c r="N28" s="87">
        <v>2.25</v>
      </c>
      <c r="O28" s="58"/>
      <c r="P28" s="58"/>
      <c r="Q28" s="59"/>
    </row>
    <row r="29" spans="1:17" ht="10.5" customHeight="1">
      <c r="A29" s="63"/>
      <c r="B29" s="57">
        <v>6.427</v>
      </c>
      <c r="C29" s="58"/>
      <c r="D29" s="57">
        <v>37.37</v>
      </c>
      <c r="E29" s="58"/>
      <c r="F29" s="57">
        <v>39.6</v>
      </c>
      <c r="G29" s="58"/>
      <c r="H29" s="57">
        <v>184</v>
      </c>
      <c r="I29" s="58"/>
      <c r="J29" s="57">
        <v>4.286</v>
      </c>
      <c r="K29" s="58"/>
      <c r="L29" s="61">
        <v>9</v>
      </c>
      <c r="M29" s="58"/>
      <c r="N29" s="57">
        <v>2.13</v>
      </c>
      <c r="O29" s="58"/>
      <c r="P29" s="58"/>
      <c r="Q29" s="59">
        <v>0.3895</v>
      </c>
    </row>
    <row r="30" spans="1:17" ht="15" customHeight="1">
      <c r="A30" s="63"/>
      <c r="B30" s="57"/>
      <c r="C30" s="58"/>
      <c r="D30" s="57"/>
      <c r="E30" s="58"/>
      <c r="F30" s="57"/>
      <c r="G30" s="58"/>
      <c r="H30" s="57"/>
      <c r="I30" s="58"/>
      <c r="J30" s="57"/>
      <c r="K30" s="58"/>
      <c r="L30" s="61"/>
      <c r="M30" s="58"/>
      <c r="N30" s="57"/>
      <c r="O30" s="58"/>
      <c r="P30" s="58"/>
      <c r="Q30" s="59"/>
    </row>
    <row r="31" spans="1:17" ht="19.5" customHeight="1">
      <c r="A31" s="56" t="s">
        <v>284</v>
      </c>
      <c r="B31" s="87">
        <v>16</v>
      </c>
      <c r="C31" s="58">
        <f>(B31-B32)/B32</f>
        <v>1.0110608345902463</v>
      </c>
      <c r="D31" s="87">
        <v>55</v>
      </c>
      <c r="E31" s="58">
        <f>(D31-D32)/D32</f>
        <v>0.3381995133819951</v>
      </c>
      <c r="F31" s="87">
        <v>43</v>
      </c>
      <c r="G31" s="58">
        <f>(F31-F32)/F32</f>
        <v>0.07231920199501243</v>
      </c>
      <c r="H31" s="87">
        <v>360</v>
      </c>
      <c r="I31" s="58">
        <f>(H31-H32)/H32</f>
        <v>0.8947368421052632</v>
      </c>
      <c r="J31" s="87">
        <v>5.2</v>
      </c>
      <c r="K31" s="58">
        <f>(J31-J32)/J32</f>
        <v>-0.020715630885122304</v>
      </c>
      <c r="L31" s="88">
        <v>18</v>
      </c>
      <c r="M31" s="58">
        <f>(L31-L32)/L32</f>
        <v>1.2085889570552146</v>
      </c>
      <c r="N31" s="87">
        <v>3.5</v>
      </c>
      <c r="O31" s="58">
        <f>(N31-N32)/N32</f>
        <v>0.5555555555555556</v>
      </c>
      <c r="P31" s="58">
        <f>C31*$B$3+E31*$D$3+G31*$F$3+I31*$H$3+K31*$J$3+O31*$N$3+M31*$L$3</f>
        <v>0.5621589774697641</v>
      </c>
      <c r="Q31" s="59">
        <v>0.6252</v>
      </c>
    </row>
    <row r="32" spans="1:17" ht="19.5" customHeight="1">
      <c r="A32" s="56"/>
      <c r="B32" s="87">
        <v>7.956</v>
      </c>
      <c r="C32" s="58"/>
      <c r="D32" s="87">
        <v>41.1</v>
      </c>
      <c r="E32" s="58"/>
      <c r="F32" s="87">
        <v>40.1</v>
      </c>
      <c r="G32" s="58"/>
      <c r="H32" s="87">
        <v>190</v>
      </c>
      <c r="I32" s="58"/>
      <c r="J32" s="87">
        <v>5.31</v>
      </c>
      <c r="K32" s="58"/>
      <c r="L32" s="88">
        <v>8.15</v>
      </c>
      <c r="M32" s="58"/>
      <c r="N32" s="87">
        <v>2.25</v>
      </c>
      <c r="O32" s="58"/>
      <c r="P32" s="58"/>
      <c r="Q32" s="59"/>
    </row>
    <row r="33" spans="1:17" ht="12" customHeight="1">
      <c r="A33" s="56"/>
      <c r="B33" s="57">
        <v>6.427</v>
      </c>
      <c r="C33" s="58">
        <f>(B31-B33)/B33</f>
        <v>1.4894974327057726</v>
      </c>
      <c r="D33" s="57">
        <v>37.37</v>
      </c>
      <c r="E33" s="58">
        <f>(D31-D33)/D33</f>
        <v>0.47176879850147185</v>
      </c>
      <c r="F33" s="57">
        <v>39.6</v>
      </c>
      <c r="G33" s="58">
        <f>(F31-F33)/F33</f>
        <v>0.08585858585858581</v>
      </c>
      <c r="H33" s="57">
        <v>184</v>
      </c>
      <c r="I33" s="58">
        <f>(H31-H33)/H33</f>
        <v>0.9565217391304348</v>
      </c>
      <c r="J33" s="57">
        <v>4.286</v>
      </c>
      <c r="K33" s="58">
        <f>(J31-J33)/J33</f>
        <v>0.2132524498366777</v>
      </c>
      <c r="L33" s="61">
        <v>9</v>
      </c>
      <c r="M33" s="58">
        <f>(L31-L33)/L33</f>
        <v>1</v>
      </c>
      <c r="N33" s="57">
        <v>2.13</v>
      </c>
      <c r="O33" s="58">
        <f>(N31-N33)/N33</f>
        <v>0.6431924882629109</v>
      </c>
      <c r="P33" s="29">
        <f>C33*$B$3+E33*$D$3+G33*$F$3+I33*$H$3+K33*$J$3+O33*$N$3+M33*$L$3</f>
        <v>0.6162745557570206</v>
      </c>
      <c r="Q33" s="64">
        <v>0.9948</v>
      </c>
    </row>
    <row r="34" spans="1:17" ht="10.5" customHeight="1">
      <c r="A34" s="56"/>
      <c r="B34" s="57"/>
      <c r="C34" s="58"/>
      <c r="D34" s="57"/>
      <c r="E34" s="58"/>
      <c r="F34" s="57"/>
      <c r="G34" s="58"/>
      <c r="H34" s="57"/>
      <c r="I34" s="58"/>
      <c r="J34" s="57"/>
      <c r="K34" s="58"/>
      <c r="L34" s="61"/>
      <c r="M34" s="58"/>
      <c r="N34" s="57"/>
      <c r="O34" s="58"/>
      <c r="P34" s="29"/>
      <c r="Q34" s="64"/>
    </row>
    <row r="35" spans="1:17" ht="19.5" customHeight="1">
      <c r="A35" s="56" t="s">
        <v>285</v>
      </c>
      <c r="B35" s="87">
        <v>16</v>
      </c>
      <c r="C35" s="58">
        <f>(B35-B36)/B36</f>
        <v>1.0110608345902463</v>
      </c>
      <c r="D35" s="87">
        <v>36</v>
      </c>
      <c r="E35" s="58">
        <f>(D35-D36)/D36</f>
        <v>-0.12408759124087594</v>
      </c>
      <c r="F35" s="87">
        <v>11</v>
      </c>
      <c r="G35" s="58">
        <f>(F35-F36)/F36</f>
        <v>-0.7256857855361596</v>
      </c>
      <c r="H35" s="87">
        <v>210</v>
      </c>
      <c r="I35" s="58">
        <f>(H35-H36)/H36</f>
        <v>0.10526315789473684</v>
      </c>
      <c r="J35" s="87">
        <v>2.5</v>
      </c>
      <c r="K35" s="58">
        <f>(J35-J36)/J36</f>
        <v>-0.5291902071563088</v>
      </c>
      <c r="L35" s="88">
        <v>12</v>
      </c>
      <c r="M35" s="58">
        <f>(L35-L36)/L36</f>
        <v>0.47239263803680975</v>
      </c>
      <c r="N35" s="87">
        <v>3</v>
      </c>
      <c r="O35" s="58">
        <f>(N35-N36)/N36</f>
        <v>0.3333333333333333</v>
      </c>
      <c r="P35" s="58"/>
      <c r="Q35" s="59">
        <v>0.9804</v>
      </c>
    </row>
    <row r="36" spans="1:17" ht="19.5" customHeight="1">
      <c r="A36" s="56"/>
      <c r="B36" s="87">
        <v>7.956</v>
      </c>
      <c r="C36" s="58"/>
      <c r="D36" s="87">
        <v>41.1</v>
      </c>
      <c r="E36" s="58"/>
      <c r="F36" s="87">
        <v>40.1</v>
      </c>
      <c r="G36" s="58"/>
      <c r="H36" s="87">
        <v>190</v>
      </c>
      <c r="I36" s="58"/>
      <c r="J36" s="87">
        <v>5.31</v>
      </c>
      <c r="K36" s="58"/>
      <c r="L36" s="88">
        <v>8.15</v>
      </c>
      <c r="M36" s="58"/>
      <c r="N36" s="87">
        <v>2.25</v>
      </c>
      <c r="O36" s="58"/>
      <c r="P36" s="58"/>
      <c r="Q36" s="59"/>
    </row>
    <row r="37" spans="1:17" ht="9" customHeight="1">
      <c r="A37" s="56"/>
      <c r="B37" s="57">
        <v>6.427</v>
      </c>
      <c r="C37" s="58">
        <f>(B35-B37)/B37</f>
        <v>1.4894974327057726</v>
      </c>
      <c r="D37" s="57">
        <v>37.37</v>
      </c>
      <c r="E37" s="58">
        <f>(D35-D37)/D37</f>
        <v>-0.03666042279903659</v>
      </c>
      <c r="F37" s="57">
        <v>39.6</v>
      </c>
      <c r="G37" s="58">
        <f>(F35-F37)/F37</f>
        <v>-0.7222222222222222</v>
      </c>
      <c r="H37" s="57">
        <v>184</v>
      </c>
      <c r="I37" s="58">
        <f>(H35-H37)/H37</f>
        <v>0.14130434782608695</v>
      </c>
      <c r="J37" s="57">
        <v>4.286</v>
      </c>
      <c r="K37" s="58">
        <f>(J35-J37)/J37</f>
        <v>-0.4167055529631357</v>
      </c>
      <c r="L37" s="61">
        <v>9</v>
      </c>
      <c r="M37" s="58">
        <f>(L35-L37)/L37</f>
        <v>0.3333333333333333</v>
      </c>
      <c r="N37" s="57">
        <v>2.13</v>
      </c>
      <c r="O37" s="58">
        <f>(N35-N37)/N37</f>
        <v>0.4084507042253522</v>
      </c>
      <c r="P37" s="58"/>
      <c r="Q37" s="59">
        <v>1.207</v>
      </c>
    </row>
    <row r="38" spans="1:17" ht="9" customHeight="1">
      <c r="A38" s="56"/>
      <c r="B38" s="57"/>
      <c r="C38" s="58"/>
      <c r="D38" s="57"/>
      <c r="E38" s="58"/>
      <c r="F38" s="57"/>
      <c r="G38" s="58"/>
      <c r="H38" s="57"/>
      <c r="I38" s="58"/>
      <c r="J38" s="57"/>
      <c r="K38" s="58"/>
      <c r="L38" s="61"/>
      <c r="M38" s="58"/>
      <c r="N38" s="57"/>
      <c r="O38" s="58"/>
      <c r="P38" s="58"/>
      <c r="Q38" s="59"/>
    </row>
    <row r="39" spans="1:17" ht="19.5" customHeight="1">
      <c r="A39" s="63" t="s">
        <v>286</v>
      </c>
      <c r="B39" s="87"/>
      <c r="C39" s="58"/>
      <c r="D39" s="87"/>
      <c r="E39" s="58"/>
      <c r="F39" s="87"/>
      <c r="G39" s="58"/>
      <c r="H39" s="87"/>
      <c r="I39" s="58"/>
      <c r="J39" s="87"/>
      <c r="K39" s="58"/>
      <c r="L39" s="88"/>
      <c r="M39" s="58"/>
      <c r="N39" s="87"/>
      <c r="O39" s="58"/>
      <c r="P39" s="58"/>
      <c r="Q39" s="59">
        <v>0.3513</v>
      </c>
    </row>
    <row r="40" spans="1:17" ht="20.25" customHeight="1">
      <c r="A40" s="63"/>
      <c r="B40" s="87">
        <v>7.956</v>
      </c>
      <c r="C40" s="58"/>
      <c r="D40" s="87">
        <v>41.1</v>
      </c>
      <c r="E40" s="58"/>
      <c r="F40" s="87">
        <v>40.1</v>
      </c>
      <c r="G40" s="58"/>
      <c r="H40" s="87">
        <v>190</v>
      </c>
      <c r="I40" s="58"/>
      <c r="J40" s="87">
        <v>5.31</v>
      </c>
      <c r="K40" s="58"/>
      <c r="L40" s="88">
        <v>8.15</v>
      </c>
      <c r="M40" s="58"/>
      <c r="N40" s="87">
        <v>2.25</v>
      </c>
      <c r="O40" s="58"/>
      <c r="P40" s="58"/>
      <c r="Q40" s="59"/>
    </row>
    <row r="41" spans="1:17" ht="12" customHeight="1">
      <c r="A41" s="63"/>
      <c r="B41" s="57">
        <v>6.427</v>
      </c>
      <c r="C41" s="58">
        <f>(B39-B41)/B41</f>
        <v>-1</v>
      </c>
      <c r="D41" s="57">
        <v>37.37</v>
      </c>
      <c r="E41" s="58">
        <f>(D39-D41)/D41</f>
        <v>-1</v>
      </c>
      <c r="F41" s="57">
        <v>39.6</v>
      </c>
      <c r="G41" s="58">
        <f>(F39-F41)/F41</f>
        <v>-1</v>
      </c>
      <c r="H41" s="57">
        <v>184</v>
      </c>
      <c r="I41" s="58">
        <f>(H39-H41)/H41</f>
        <v>-1</v>
      </c>
      <c r="J41" s="57">
        <v>4.286</v>
      </c>
      <c r="K41" s="58">
        <f>(J39-J41)/J41</f>
        <v>-1</v>
      </c>
      <c r="L41" s="61">
        <v>9</v>
      </c>
      <c r="M41" s="58">
        <f>(L39-L41)/L41</f>
        <v>-1</v>
      </c>
      <c r="N41" s="57">
        <v>2.13</v>
      </c>
      <c r="O41" s="58">
        <f>(N39-N41)/N41</f>
        <v>-1</v>
      </c>
      <c r="P41" s="57"/>
      <c r="Q41" s="59">
        <v>0.4541</v>
      </c>
    </row>
    <row r="42" spans="1:17" ht="9" customHeight="1">
      <c r="A42" s="63"/>
      <c r="B42" s="57"/>
      <c r="C42" s="58"/>
      <c r="D42" s="57"/>
      <c r="E42" s="58"/>
      <c r="F42" s="57"/>
      <c r="G42" s="58"/>
      <c r="H42" s="57"/>
      <c r="I42" s="58"/>
      <c r="J42" s="57"/>
      <c r="K42" s="58"/>
      <c r="L42" s="61"/>
      <c r="M42" s="58"/>
      <c r="N42" s="57"/>
      <c r="O42" s="58"/>
      <c r="P42" s="57"/>
      <c r="Q42" s="59"/>
    </row>
    <row r="43" spans="1:17" ht="19.5" customHeight="1">
      <c r="A43" s="56" t="s">
        <v>287</v>
      </c>
      <c r="B43" s="87">
        <v>11.5</v>
      </c>
      <c r="C43" s="58">
        <f>(B43-B44)/B44</f>
        <v>0.4454499748617395</v>
      </c>
      <c r="D43" s="87">
        <v>42.6</v>
      </c>
      <c r="E43" s="58">
        <f>(D43-D44)/D44</f>
        <v>0.0364963503649635</v>
      </c>
      <c r="F43" s="87">
        <v>40</v>
      </c>
      <c r="G43" s="58">
        <f>(F43-F44)/F44</f>
        <v>-0.0024937655860349482</v>
      </c>
      <c r="H43" s="87">
        <v>285</v>
      </c>
      <c r="I43" s="58">
        <f>(H43-H44)/H44</f>
        <v>0.5</v>
      </c>
      <c r="J43" s="87">
        <v>3.6</v>
      </c>
      <c r="K43" s="58">
        <f>(J43-J44)/J44</f>
        <v>-0.32203389830508466</v>
      </c>
      <c r="L43" s="88">
        <v>12</v>
      </c>
      <c r="M43" s="58">
        <f>(L43-L44)/L44</f>
        <v>0.47239263803680975</v>
      </c>
      <c r="N43" s="87">
        <v>3.5</v>
      </c>
      <c r="O43" s="58">
        <f>(N43-N44)/N44</f>
        <v>0.5555555555555556</v>
      </c>
      <c r="P43" s="58">
        <f>C43*$B$3+E43*$D$3+G43*$F$3+I43*$H$3+K43*$J$3+O43*$N$3+M43*$L$3</f>
        <v>0.24853115675809445</v>
      </c>
      <c r="Q43" s="59">
        <v>0.2523</v>
      </c>
    </row>
    <row r="44" spans="1:17" ht="19.5" customHeight="1">
      <c r="A44" s="56"/>
      <c r="B44" s="87">
        <v>7.956</v>
      </c>
      <c r="C44" s="58"/>
      <c r="D44" s="87">
        <v>41.1</v>
      </c>
      <c r="E44" s="58"/>
      <c r="F44" s="87">
        <v>40.1</v>
      </c>
      <c r="G44" s="58"/>
      <c r="H44" s="87">
        <v>190</v>
      </c>
      <c r="I44" s="58"/>
      <c r="J44" s="87">
        <v>5.31</v>
      </c>
      <c r="K44" s="58"/>
      <c r="L44" s="88">
        <v>8.15</v>
      </c>
      <c r="M44" s="58"/>
      <c r="N44" s="87">
        <v>2.25</v>
      </c>
      <c r="O44" s="58"/>
      <c r="P44" s="58"/>
      <c r="Q44" s="59"/>
    </row>
    <row r="45" spans="1:17" ht="19.5" customHeight="1">
      <c r="A45" s="56"/>
      <c r="B45" s="57">
        <v>6.427</v>
      </c>
      <c r="C45" s="58">
        <f>(B43-B45)/B45</f>
        <v>0.7893262797572741</v>
      </c>
      <c r="D45" s="57">
        <v>37.37</v>
      </c>
      <c r="E45" s="58">
        <f>(D43-D45)/D45</f>
        <v>0.13995183302114006</v>
      </c>
      <c r="F45" s="57">
        <v>39.6</v>
      </c>
      <c r="G45" s="58">
        <f>(F43-F45)/F45</f>
        <v>0.010101010101010065</v>
      </c>
      <c r="H45" s="57">
        <v>184</v>
      </c>
      <c r="I45" s="58">
        <f>(H43-H45)/H45</f>
        <v>0.5489130434782609</v>
      </c>
      <c r="J45" s="57">
        <v>4.286</v>
      </c>
      <c r="K45" s="58">
        <f>(J43-J45)/J45</f>
        <v>-0.16005599626691544</v>
      </c>
      <c r="L45" s="61">
        <v>9</v>
      </c>
      <c r="M45" s="58">
        <f>(L43-L45)/L45</f>
        <v>0.3333333333333333</v>
      </c>
      <c r="N45" s="57">
        <v>2.13</v>
      </c>
      <c r="O45" s="58">
        <f>(N43-N45)/N45</f>
        <v>0.6431924882629109</v>
      </c>
      <c r="P45" s="58">
        <f>C45*$B$3+E45*$D$3+G45*$F$3+I45*$H$3+K45*$J$3+O45*$N$3+M45*$L$3</f>
        <v>0.29426021503508415</v>
      </c>
      <c r="Q45" s="59">
        <v>0.275</v>
      </c>
    </row>
    <row r="46" spans="1:17" ht="19.5" customHeight="1">
      <c r="A46" s="56"/>
      <c r="B46" s="57"/>
      <c r="C46" s="58"/>
      <c r="D46" s="57"/>
      <c r="E46" s="58"/>
      <c r="F46" s="57"/>
      <c r="G46" s="58"/>
      <c r="H46" s="57"/>
      <c r="I46" s="58"/>
      <c r="J46" s="57"/>
      <c r="K46" s="58"/>
      <c r="L46" s="61"/>
      <c r="M46" s="58"/>
      <c r="N46" s="57"/>
      <c r="O46" s="58"/>
      <c r="P46" s="58"/>
      <c r="Q46" s="59"/>
    </row>
    <row r="47" spans="1:17" ht="19.5" customHeight="1">
      <c r="A47" s="30" t="s">
        <v>269</v>
      </c>
      <c r="B47" s="87">
        <v>15.1</v>
      </c>
      <c r="C47" s="58">
        <f>(B47-B48)/B48</f>
        <v>0.8979386626445448</v>
      </c>
      <c r="D47" s="87">
        <v>60</v>
      </c>
      <c r="E47" s="58">
        <f>(D47-D48)/D48</f>
        <v>0.4598540145985401</v>
      </c>
      <c r="F47" s="87">
        <v>42</v>
      </c>
      <c r="G47" s="58">
        <f>(F47-F48)/F48</f>
        <v>0.047381546134663305</v>
      </c>
      <c r="H47" s="87">
        <v>410</v>
      </c>
      <c r="I47" s="58">
        <f>(H47-H48)/H48</f>
        <v>1.1578947368421053</v>
      </c>
      <c r="J47" s="87">
        <v>8</v>
      </c>
      <c r="K47" s="58">
        <f>(J47-J48)/J48</f>
        <v>0.5065913370998117</v>
      </c>
      <c r="L47" s="88">
        <v>15.5</v>
      </c>
      <c r="M47" s="58">
        <f>(L47-L48)/L48</f>
        <v>0.9018404907975459</v>
      </c>
      <c r="N47" s="87">
        <v>4.5</v>
      </c>
      <c r="O47" s="58">
        <f>(N47-N48)/N48</f>
        <v>1</v>
      </c>
      <c r="P47" s="58">
        <f>C47*$B$3+E47*$D$3+G47*$F$3+I47*$H$3+K47*$J$3+O47*$N$3+M47*$L$3</f>
        <v>0.6548585248735159</v>
      </c>
      <c r="Q47" s="59">
        <v>0.5193</v>
      </c>
    </row>
    <row r="48" spans="1:17" ht="15.75" customHeight="1">
      <c r="A48" s="31"/>
      <c r="B48" s="87">
        <v>7.956</v>
      </c>
      <c r="C48" s="58"/>
      <c r="D48" s="87">
        <v>41.1</v>
      </c>
      <c r="E48" s="58"/>
      <c r="F48" s="87">
        <v>40.1</v>
      </c>
      <c r="G48" s="58"/>
      <c r="H48" s="87">
        <v>190</v>
      </c>
      <c r="I48" s="58"/>
      <c r="J48" s="87">
        <v>5.31</v>
      </c>
      <c r="K48" s="58"/>
      <c r="L48" s="88">
        <v>8.15</v>
      </c>
      <c r="M48" s="58"/>
      <c r="N48" s="87">
        <v>2.25</v>
      </c>
      <c r="O48" s="58"/>
      <c r="P48" s="58"/>
      <c r="Q48" s="59"/>
    </row>
    <row r="49" spans="1:17" ht="12">
      <c r="A49" s="31"/>
      <c r="B49" s="57">
        <v>6.427</v>
      </c>
      <c r="C49" s="58">
        <f>(B47-B49)/B49</f>
        <v>1.3494632021160728</v>
      </c>
      <c r="D49" s="57">
        <v>37.37</v>
      </c>
      <c r="E49" s="58">
        <f>(D47-D49)/D49</f>
        <v>0.6055659620016057</v>
      </c>
      <c r="F49" s="57">
        <v>39.6</v>
      </c>
      <c r="G49" s="58">
        <f>(F47-F49)/F49</f>
        <v>0.060606060606060566</v>
      </c>
      <c r="H49" s="57">
        <v>184</v>
      </c>
      <c r="I49" s="58">
        <f>(H47-H49)/H49</f>
        <v>1.2282608695652173</v>
      </c>
      <c r="J49" s="57">
        <v>4.286</v>
      </c>
      <c r="K49" s="58">
        <f>(J47-J49)/J49</f>
        <v>0.8665422305179656</v>
      </c>
      <c r="L49" s="61">
        <v>9</v>
      </c>
      <c r="M49" s="58">
        <f>(L47-L49)/L49</f>
        <v>0.7222222222222222</v>
      </c>
      <c r="N49" s="57">
        <v>2.13</v>
      </c>
      <c r="O49" s="58">
        <f>(N47-N49)/N49</f>
        <v>1.1126760563380282</v>
      </c>
      <c r="P49" s="58">
        <f>C49*$B$3+E49*$D$3+G49*$F$3+I49*$H$3+K49*$J$3+O49*$N$3+M49*$L$3</f>
        <v>0.72477199021499</v>
      </c>
      <c r="Q49" s="59">
        <v>0.694</v>
      </c>
    </row>
    <row r="50" spans="1:17" ht="12">
      <c r="A50" s="32"/>
      <c r="B50" s="57"/>
      <c r="C50" s="58"/>
      <c r="D50" s="57"/>
      <c r="E50" s="58"/>
      <c r="F50" s="57"/>
      <c r="G50" s="58"/>
      <c r="H50" s="57"/>
      <c r="I50" s="58"/>
      <c r="J50" s="57"/>
      <c r="K50" s="58"/>
      <c r="L50" s="61"/>
      <c r="M50" s="58"/>
      <c r="N50" s="57"/>
      <c r="O50" s="58"/>
      <c r="P50" s="58"/>
      <c r="Q50" s="59"/>
    </row>
  </sheetData>
  <sheetProtection/>
  <mergeCells count="311">
    <mergeCell ref="Q45:Q46"/>
    <mergeCell ref="B49:B50"/>
    <mergeCell ref="C49:C50"/>
    <mergeCell ref="D49:D50"/>
    <mergeCell ref="E49:E50"/>
    <mergeCell ref="F49:F50"/>
    <mergeCell ref="G49:G50"/>
    <mergeCell ref="H45:H46"/>
    <mergeCell ref="I45:I46"/>
    <mergeCell ref="P49:P50"/>
    <mergeCell ref="Q49:Q50"/>
    <mergeCell ref="A47:A50"/>
    <mergeCell ref="A4:A6"/>
    <mergeCell ref="H49:H50"/>
    <mergeCell ref="I49:I50"/>
    <mergeCell ref="J49:J50"/>
    <mergeCell ref="K49:K50"/>
    <mergeCell ref="L49:L50"/>
    <mergeCell ref="M49:M50"/>
    <mergeCell ref="D41:D42"/>
    <mergeCell ref="E41:E42"/>
    <mergeCell ref="N49:N50"/>
    <mergeCell ref="O49:O50"/>
    <mergeCell ref="N45:N46"/>
    <mergeCell ref="O45:O46"/>
    <mergeCell ref="H41:H42"/>
    <mergeCell ref="I41:I42"/>
    <mergeCell ref="J41:J42"/>
    <mergeCell ref="K41:K42"/>
    <mergeCell ref="D45:D46"/>
    <mergeCell ref="E45:E46"/>
    <mergeCell ref="F45:F46"/>
    <mergeCell ref="G45:G46"/>
    <mergeCell ref="J37:J38"/>
    <mergeCell ref="K37:K38"/>
    <mergeCell ref="N41:N42"/>
    <mergeCell ref="O41:O42"/>
    <mergeCell ref="L41:L42"/>
    <mergeCell ref="M41:M42"/>
    <mergeCell ref="F37:F38"/>
    <mergeCell ref="G37:G38"/>
    <mergeCell ref="H37:H38"/>
    <mergeCell ref="I37:I38"/>
    <mergeCell ref="P29:P30"/>
    <mergeCell ref="Q29:Q30"/>
    <mergeCell ref="Q31:Q32"/>
    <mergeCell ref="L37:L38"/>
    <mergeCell ref="M37:M38"/>
    <mergeCell ref="N37:N38"/>
    <mergeCell ref="O37:O38"/>
    <mergeCell ref="P37:P38"/>
    <mergeCell ref="Q37:Q38"/>
    <mergeCell ref="I29:I30"/>
    <mergeCell ref="J29:J30"/>
    <mergeCell ref="M33:M34"/>
    <mergeCell ref="N33:N34"/>
    <mergeCell ref="N29:N30"/>
    <mergeCell ref="N25:N26"/>
    <mergeCell ref="O25:O26"/>
    <mergeCell ref="P25:P26"/>
    <mergeCell ref="B33:B34"/>
    <mergeCell ref="C33:C34"/>
    <mergeCell ref="D33:D34"/>
    <mergeCell ref="E33:E34"/>
    <mergeCell ref="F33:F34"/>
    <mergeCell ref="G33:G34"/>
    <mergeCell ref="H29:H30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Q25:Q26"/>
    <mergeCell ref="B29:B30"/>
    <mergeCell ref="C29:C30"/>
    <mergeCell ref="D29:D30"/>
    <mergeCell ref="E29:E30"/>
    <mergeCell ref="F29:F30"/>
    <mergeCell ref="G29:G30"/>
    <mergeCell ref="H25:H26"/>
    <mergeCell ref="I25:I26"/>
    <mergeCell ref="J25:J26"/>
    <mergeCell ref="P21:P22"/>
    <mergeCell ref="Q21:Q22"/>
    <mergeCell ref="N17:N18"/>
    <mergeCell ref="O17:O18"/>
    <mergeCell ref="P17:P18"/>
    <mergeCell ref="Q17:Q18"/>
    <mergeCell ref="P23:P24"/>
    <mergeCell ref="Q23:Q24"/>
    <mergeCell ref="K19:K20"/>
    <mergeCell ref="O19:O20"/>
    <mergeCell ref="P19:P20"/>
    <mergeCell ref="Q19:Q20"/>
    <mergeCell ref="L21:L22"/>
    <mergeCell ref="M21:M22"/>
    <mergeCell ref="N21:N22"/>
    <mergeCell ref="O21:O22"/>
    <mergeCell ref="K17:K18"/>
    <mergeCell ref="L17:L18"/>
    <mergeCell ref="M17:M18"/>
    <mergeCell ref="O23:O24"/>
    <mergeCell ref="B17:B18"/>
    <mergeCell ref="C17:C18"/>
    <mergeCell ref="D17:D18"/>
    <mergeCell ref="E17:E18"/>
    <mergeCell ref="I17:I18"/>
    <mergeCell ref="J17:J18"/>
    <mergeCell ref="C19:C20"/>
    <mergeCell ref="E19:E20"/>
    <mergeCell ref="G19:G20"/>
    <mergeCell ref="I19:I20"/>
    <mergeCell ref="F17:F18"/>
    <mergeCell ref="G17:G18"/>
    <mergeCell ref="H13:H14"/>
    <mergeCell ref="I13:I14"/>
    <mergeCell ref="J13:J14"/>
    <mergeCell ref="B21:B22"/>
    <mergeCell ref="C21:C22"/>
    <mergeCell ref="D21:D22"/>
    <mergeCell ref="E21:E22"/>
    <mergeCell ref="F21:F22"/>
    <mergeCell ref="G21:G22"/>
    <mergeCell ref="H17:H18"/>
    <mergeCell ref="Q15:Q16"/>
    <mergeCell ref="C15:C16"/>
    <mergeCell ref="E15:E16"/>
    <mergeCell ref="G15:G16"/>
    <mergeCell ref="I15:I16"/>
    <mergeCell ref="K15:K16"/>
    <mergeCell ref="O15:O16"/>
    <mergeCell ref="P15:P16"/>
    <mergeCell ref="P11:P12"/>
    <mergeCell ref="Q11:Q12"/>
    <mergeCell ref="N13:N14"/>
    <mergeCell ref="O13:O14"/>
    <mergeCell ref="P13:P14"/>
    <mergeCell ref="Q13:Q14"/>
    <mergeCell ref="Q9:Q10"/>
    <mergeCell ref="B13:B14"/>
    <mergeCell ref="C13:C14"/>
    <mergeCell ref="D13:D14"/>
    <mergeCell ref="E13:E14"/>
    <mergeCell ref="F13:F14"/>
    <mergeCell ref="G13:G14"/>
    <mergeCell ref="G9:G10"/>
    <mergeCell ref="H9:H10"/>
    <mergeCell ref="I9:I10"/>
    <mergeCell ref="G35:G36"/>
    <mergeCell ref="M9:M10"/>
    <mergeCell ref="N9:N10"/>
    <mergeCell ref="O9:O10"/>
    <mergeCell ref="J9:J10"/>
    <mergeCell ref="K9:K10"/>
    <mergeCell ref="L9:L10"/>
    <mergeCell ref="K13:K14"/>
    <mergeCell ref="L13:L14"/>
    <mergeCell ref="M13:M14"/>
    <mergeCell ref="D37:D38"/>
    <mergeCell ref="E37:E38"/>
    <mergeCell ref="C35:C36"/>
    <mergeCell ref="E35:E36"/>
    <mergeCell ref="A27:A30"/>
    <mergeCell ref="A31:A34"/>
    <mergeCell ref="C43:C44"/>
    <mergeCell ref="C39:C40"/>
    <mergeCell ref="B37:B38"/>
    <mergeCell ref="C37:C38"/>
    <mergeCell ref="B41:B42"/>
    <mergeCell ref="C41:C42"/>
    <mergeCell ref="A11:A14"/>
    <mergeCell ref="A15:A18"/>
    <mergeCell ref="A19:A22"/>
    <mergeCell ref="A23:A26"/>
    <mergeCell ref="P9:P10"/>
    <mergeCell ref="B9:B10"/>
    <mergeCell ref="C9:C10"/>
    <mergeCell ref="D9:D10"/>
    <mergeCell ref="E9:E10"/>
    <mergeCell ref="F9:F10"/>
    <mergeCell ref="C47:C48"/>
    <mergeCell ref="A35:A38"/>
    <mergeCell ref="A39:A42"/>
    <mergeCell ref="A43:A46"/>
    <mergeCell ref="B45:B46"/>
    <mergeCell ref="C45:C46"/>
    <mergeCell ref="K33:K34"/>
    <mergeCell ref="Q47:Q48"/>
    <mergeCell ref="P43:P44"/>
    <mergeCell ref="Q43:Q44"/>
    <mergeCell ref="O33:O34"/>
    <mergeCell ref="P33:P34"/>
    <mergeCell ref="Q33:Q34"/>
    <mergeCell ref="P41:P42"/>
    <mergeCell ref="Q41:Q42"/>
    <mergeCell ref="P45:P46"/>
    <mergeCell ref="M47:M48"/>
    <mergeCell ref="L2:M2"/>
    <mergeCell ref="L3:M3"/>
    <mergeCell ref="M4:M5"/>
    <mergeCell ref="M7:M8"/>
    <mergeCell ref="M11:M12"/>
    <mergeCell ref="M15:M16"/>
    <mergeCell ref="M19:M20"/>
    <mergeCell ref="M23:M24"/>
    <mergeCell ref="M27:M28"/>
    <mergeCell ref="M45:M46"/>
    <mergeCell ref="A1:Q1"/>
    <mergeCell ref="A7:A10"/>
    <mergeCell ref="M31:M32"/>
    <mergeCell ref="M35:M36"/>
    <mergeCell ref="M39:M40"/>
    <mergeCell ref="M43:M44"/>
    <mergeCell ref="H33:H34"/>
    <mergeCell ref="I33:I34"/>
    <mergeCell ref="J33:J34"/>
    <mergeCell ref="Q39:Q40"/>
    <mergeCell ref="E43:E44"/>
    <mergeCell ref="G43:G44"/>
    <mergeCell ref="I43:I44"/>
    <mergeCell ref="K43:K44"/>
    <mergeCell ref="O43:O44"/>
    <mergeCell ref="E39:E40"/>
    <mergeCell ref="G39:G40"/>
    <mergeCell ref="I39:I40"/>
    <mergeCell ref="K39:K40"/>
    <mergeCell ref="O47:O48"/>
    <mergeCell ref="P47:P48"/>
    <mergeCell ref="O39:O40"/>
    <mergeCell ref="P39:P40"/>
    <mergeCell ref="L33:L34"/>
    <mergeCell ref="E47:E48"/>
    <mergeCell ref="G47:G48"/>
    <mergeCell ref="I47:I48"/>
    <mergeCell ref="K47:K48"/>
    <mergeCell ref="F41:F42"/>
    <mergeCell ref="G41:G42"/>
    <mergeCell ref="J45:J46"/>
    <mergeCell ref="K45:K46"/>
    <mergeCell ref="L45:L46"/>
    <mergeCell ref="K27:K28"/>
    <mergeCell ref="O27:O28"/>
    <mergeCell ref="K29:K30"/>
    <mergeCell ref="L29:L30"/>
    <mergeCell ref="M29:M30"/>
    <mergeCell ref="O29:O30"/>
    <mergeCell ref="C27:C28"/>
    <mergeCell ref="E27:E28"/>
    <mergeCell ref="G27:G28"/>
    <mergeCell ref="I27:I28"/>
    <mergeCell ref="Q35:Q36"/>
    <mergeCell ref="P27:P28"/>
    <mergeCell ref="Q27:Q28"/>
    <mergeCell ref="C31:C32"/>
    <mergeCell ref="E31:E32"/>
    <mergeCell ref="G31:G32"/>
    <mergeCell ref="I31:I32"/>
    <mergeCell ref="K31:K32"/>
    <mergeCell ref="O31:O32"/>
    <mergeCell ref="P31:P32"/>
    <mergeCell ref="I35:I36"/>
    <mergeCell ref="K35:K36"/>
    <mergeCell ref="O35:O36"/>
    <mergeCell ref="P35:P36"/>
    <mergeCell ref="K23:K24"/>
    <mergeCell ref="H21:H22"/>
    <mergeCell ref="I21:I22"/>
    <mergeCell ref="J21:J22"/>
    <mergeCell ref="K21:K22"/>
    <mergeCell ref="C23:C24"/>
    <mergeCell ref="E23:E24"/>
    <mergeCell ref="G23:G24"/>
    <mergeCell ref="I23:I24"/>
    <mergeCell ref="C7:C8"/>
    <mergeCell ref="E7:E8"/>
    <mergeCell ref="G7:G8"/>
    <mergeCell ref="I7:I8"/>
    <mergeCell ref="K11:K12"/>
    <mergeCell ref="O11:O12"/>
    <mergeCell ref="P2:P5"/>
    <mergeCell ref="B3:C3"/>
    <mergeCell ref="D3:E3"/>
    <mergeCell ref="F3:G3"/>
    <mergeCell ref="H3:I3"/>
    <mergeCell ref="J3:K3"/>
    <mergeCell ref="N3:O3"/>
    <mergeCell ref="N2:O2"/>
    <mergeCell ref="C11:C12"/>
    <mergeCell ref="E11:E12"/>
    <mergeCell ref="G11:G12"/>
    <mergeCell ref="I11:I12"/>
    <mergeCell ref="F2:G2"/>
    <mergeCell ref="G4:G5"/>
    <mergeCell ref="P7:P8"/>
    <mergeCell ref="Q2:Q5"/>
    <mergeCell ref="Q7:Q8"/>
    <mergeCell ref="O4:O5"/>
    <mergeCell ref="K7:K8"/>
    <mergeCell ref="O7:O8"/>
    <mergeCell ref="B2:C2"/>
    <mergeCell ref="C4:C5"/>
    <mergeCell ref="D2:E2"/>
    <mergeCell ref="E4:E5"/>
    <mergeCell ref="H2:I2"/>
    <mergeCell ref="I4:I5"/>
    <mergeCell ref="J2:K2"/>
    <mergeCell ref="K4:K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="84" zoomScaleNormal="84" zoomScalePageLayoutView="0" workbookViewId="0" topLeftCell="A1">
      <pane xSplit="3" ySplit="4" topLeftCell="D2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4" sqref="G24"/>
    </sheetView>
  </sheetViews>
  <sheetFormatPr defaultColWidth="9.28125" defaultRowHeight="12"/>
  <cols>
    <col min="1" max="1" width="3.00390625" style="1" customWidth="1"/>
    <col min="2" max="2" width="9.28125" style="1" customWidth="1"/>
    <col min="3" max="3" width="7.00390625" style="1" customWidth="1"/>
    <col min="4" max="4" width="9.28125" style="34" customWidth="1"/>
    <col min="5" max="7" width="7.00390625" style="2" customWidth="1"/>
    <col min="8" max="13" width="7.00390625" style="3" customWidth="1"/>
    <col min="14" max="14" width="7.7109375" style="3" customWidth="1"/>
    <col min="15" max="15" width="9.00390625" style="34" customWidth="1"/>
    <col min="16" max="16" width="8.57421875" style="2" customWidth="1"/>
    <col min="17" max="18" width="7.7109375" style="2" customWidth="1"/>
    <col min="19" max="20" width="8.00390625" style="2" customWidth="1"/>
    <col min="21" max="21" width="7.8515625" style="2" customWidth="1"/>
    <col min="22" max="16384" width="9.28125" style="1" customWidth="1"/>
  </cols>
  <sheetData>
    <row r="1" spans="1:21" s="4" customFormat="1" ht="29.25" customHeight="1">
      <c r="A1" s="158" t="s">
        <v>90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s="10" customFormat="1" ht="26.25" customHeight="1">
      <c r="A2" s="154" t="s">
        <v>0</v>
      </c>
      <c r="B2" s="154" t="s">
        <v>21</v>
      </c>
      <c r="C2" s="150" t="s">
        <v>18</v>
      </c>
      <c r="D2" s="151"/>
      <c r="E2" s="151"/>
      <c r="F2" s="151"/>
      <c r="G2" s="151"/>
      <c r="H2" s="151"/>
      <c r="I2" s="151"/>
      <c r="J2" s="151"/>
      <c r="K2" s="151"/>
      <c r="L2" s="151"/>
      <c r="M2" s="152"/>
      <c r="N2" s="150" t="s">
        <v>12</v>
      </c>
      <c r="O2" s="151"/>
      <c r="P2" s="151"/>
      <c r="Q2" s="151"/>
      <c r="R2" s="151"/>
      <c r="S2" s="151"/>
      <c r="T2" s="151"/>
      <c r="U2" s="152"/>
    </row>
    <row r="3" spans="1:21" s="10" customFormat="1" ht="26.25" customHeight="1">
      <c r="A3" s="163"/>
      <c r="B3" s="163"/>
      <c r="C3" s="154" t="s">
        <v>22</v>
      </c>
      <c r="D3" s="133" t="s">
        <v>14</v>
      </c>
      <c r="E3" s="150" t="s">
        <v>19</v>
      </c>
      <c r="F3" s="151"/>
      <c r="G3" s="152"/>
      <c r="H3" s="150" t="s">
        <v>20</v>
      </c>
      <c r="I3" s="151"/>
      <c r="J3" s="151"/>
      <c r="K3" s="151"/>
      <c r="L3" s="151"/>
      <c r="M3" s="152"/>
      <c r="N3" s="161" t="s">
        <v>13</v>
      </c>
      <c r="O3" s="133" t="s">
        <v>14</v>
      </c>
      <c r="P3" s="150" t="s">
        <v>19</v>
      </c>
      <c r="Q3" s="151"/>
      <c r="R3" s="151"/>
      <c r="S3" s="151"/>
      <c r="T3" s="151"/>
      <c r="U3" s="152"/>
    </row>
    <row r="4" spans="1:21" s="13" customFormat="1" ht="53.25" customHeight="1">
      <c r="A4" s="155"/>
      <c r="B4" s="155"/>
      <c r="C4" s="155"/>
      <c r="D4" s="134"/>
      <c r="E4" s="11" t="s">
        <v>16</v>
      </c>
      <c r="F4" s="11" t="s">
        <v>23</v>
      </c>
      <c r="G4" s="11" t="s">
        <v>9</v>
      </c>
      <c r="H4" s="12" t="s">
        <v>2</v>
      </c>
      <c r="I4" s="12" t="s">
        <v>1</v>
      </c>
      <c r="J4" s="12" t="s">
        <v>5</v>
      </c>
      <c r="K4" s="12" t="s">
        <v>4</v>
      </c>
      <c r="L4" s="12" t="s">
        <v>3</v>
      </c>
      <c r="M4" s="12" t="s">
        <v>15</v>
      </c>
      <c r="N4" s="162"/>
      <c r="O4" s="134"/>
      <c r="P4" s="11" t="s">
        <v>6</v>
      </c>
      <c r="Q4" s="11" t="s">
        <v>7</v>
      </c>
      <c r="R4" s="11" t="s">
        <v>8</v>
      </c>
      <c r="S4" s="11" t="s">
        <v>9</v>
      </c>
      <c r="T4" s="11" t="s">
        <v>10</v>
      </c>
      <c r="U4" s="11" t="s">
        <v>11</v>
      </c>
    </row>
    <row r="5" spans="1:21" s="13" customFormat="1" ht="81.75" customHeight="1">
      <c r="A5" s="153">
        <v>1</v>
      </c>
      <c r="B5" s="7" t="s">
        <v>24</v>
      </c>
      <c r="C5" s="7" t="s">
        <v>17</v>
      </c>
      <c r="D5" s="105">
        <v>39264</v>
      </c>
      <c r="E5" s="9">
        <v>0.67</v>
      </c>
      <c r="F5" s="9">
        <v>0.68</v>
      </c>
      <c r="G5" s="9">
        <v>0.72</v>
      </c>
      <c r="H5" s="7">
        <f>36-18*0.25</f>
        <v>31.5</v>
      </c>
      <c r="I5" s="7">
        <f>50-25*0.25</f>
        <v>43.75</v>
      </c>
      <c r="J5" s="7">
        <f>38-0.25*18</f>
        <v>33.5</v>
      </c>
      <c r="K5" s="7">
        <f>54-0.25*30</f>
        <v>46.5</v>
      </c>
      <c r="L5" s="7">
        <f>70-35*0.25</f>
        <v>61.25</v>
      </c>
      <c r="M5" s="7">
        <f>50-25*0.25</f>
        <v>43.75</v>
      </c>
      <c r="N5" s="7" t="s">
        <v>25</v>
      </c>
      <c r="O5" s="105">
        <v>39264</v>
      </c>
      <c r="P5" s="37">
        <v>0.69</v>
      </c>
      <c r="Q5" s="37">
        <v>0.72</v>
      </c>
      <c r="R5" s="37">
        <v>0.69</v>
      </c>
      <c r="S5" s="37">
        <v>0.9</v>
      </c>
      <c r="T5" s="37">
        <v>0.69</v>
      </c>
      <c r="U5" s="37">
        <v>0.69</v>
      </c>
    </row>
    <row r="6" spans="1:21" s="13" customFormat="1" ht="77.25" customHeight="1">
      <c r="A6" s="153"/>
      <c r="B6" s="7" t="s">
        <v>26</v>
      </c>
      <c r="C6" s="7" t="s">
        <v>17</v>
      </c>
      <c r="D6" s="105">
        <v>39264</v>
      </c>
      <c r="E6" s="9">
        <v>0.62</v>
      </c>
      <c r="F6" s="9">
        <v>0.63</v>
      </c>
      <c r="G6" s="9">
        <v>0.67</v>
      </c>
      <c r="H6" s="7">
        <f>33-18*0.25</f>
        <v>28.5</v>
      </c>
      <c r="I6" s="7">
        <f>47-25*0.25</f>
        <v>40.75</v>
      </c>
      <c r="J6" s="7">
        <f>35-0.25*18</f>
        <v>30.5</v>
      </c>
      <c r="K6" s="7">
        <f>50-0.25*30</f>
        <v>42.5</v>
      </c>
      <c r="L6" s="7">
        <f>65-35*0.25</f>
        <v>56.25</v>
      </c>
      <c r="M6" s="7">
        <f>47-25*0.25</f>
        <v>40.75</v>
      </c>
      <c r="N6" s="7" t="s">
        <v>25</v>
      </c>
      <c r="O6" s="105">
        <v>39264</v>
      </c>
      <c r="P6" s="37">
        <v>0.64</v>
      </c>
      <c r="Q6" s="37">
        <v>0.67</v>
      </c>
      <c r="R6" s="37">
        <v>0.64</v>
      </c>
      <c r="S6" s="37">
        <v>0.84</v>
      </c>
      <c r="T6" s="37">
        <v>0.64</v>
      </c>
      <c r="U6" s="37">
        <v>0.64</v>
      </c>
    </row>
    <row r="7" spans="1:21" s="13" customFormat="1" ht="71.25" customHeight="1">
      <c r="A7" s="153"/>
      <c r="B7" s="7" t="s">
        <v>27</v>
      </c>
      <c r="C7" s="7" t="s">
        <v>17</v>
      </c>
      <c r="D7" s="105">
        <v>39264</v>
      </c>
      <c r="E7" s="9">
        <v>0.55</v>
      </c>
      <c r="F7" s="9">
        <v>0.56</v>
      </c>
      <c r="G7" s="9">
        <v>0.59</v>
      </c>
      <c r="H7" s="7">
        <f>30-18*0.25</f>
        <v>25.5</v>
      </c>
      <c r="I7" s="7">
        <f>41-25*0.25</f>
        <v>34.75</v>
      </c>
      <c r="J7" s="7">
        <f>31-0.25*18</f>
        <v>26.5</v>
      </c>
      <c r="K7" s="7">
        <f>44-0.25*30</f>
        <v>36.5</v>
      </c>
      <c r="L7" s="7">
        <f>57-35*0.25</f>
        <v>48.25</v>
      </c>
      <c r="M7" s="7">
        <f>41-25*0.25</f>
        <v>34.75</v>
      </c>
      <c r="N7" s="7" t="s">
        <v>25</v>
      </c>
      <c r="O7" s="105">
        <v>39264</v>
      </c>
      <c r="P7" s="37">
        <v>0.57</v>
      </c>
      <c r="Q7" s="37">
        <v>0.59</v>
      </c>
      <c r="R7" s="37">
        <v>0.57</v>
      </c>
      <c r="S7" s="37">
        <v>0.74</v>
      </c>
      <c r="T7" s="37">
        <v>0.57</v>
      </c>
      <c r="U7" s="37">
        <v>0.57</v>
      </c>
    </row>
    <row r="8" spans="1:21" s="13" customFormat="1" ht="64.5" customHeight="1">
      <c r="A8" s="7">
        <v>2</v>
      </c>
      <c r="B8" s="7" t="s">
        <v>28</v>
      </c>
      <c r="C8" s="7" t="s">
        <v>29</v>
      </c>
      <c r="D8" s="105">
        <v>39448</v>
      </c>
      <c r="E8" s="11">
        <v>0.4152</v>
      </c>
      <c r="F8" s="11">
        <v>0.4344</v>
      </c>
      <c r="G8" s="11">
        <v>0.485</v>
      </c>
      <c r="H8" s="12">
        <v>30.5</v>
      </c>
      <c r="I8" s="12">
        <v>42.75</v>
      </c>
      <c r="J8" s="12">
        <v>30.5</v>
      </c>
      <c r="K8" s="12">
        <v>43.5</v>
      </c>
      <c r="L8" s="12">
        <v>52.25</v>
      </c>
      <c r="M8" s="12">
        <v>49.35</v>
      </c>
      <c r="N8" s="7" t="s">
        <v>30</v>
      </c>
      <c r="O8" s="105">
        <v>39448</v>
      </c>
      <c r="P8" s="38">
        <v>0.4523</v>
      </c>
      <c r="Q8" s="38">
        <v>0.4863</v>
      </c>
      <c r="R8" s="38">
        <v>0.3762</v>
      </c>
      <c r="S8" s="38">
        <v>0.514</v>
      </c>
      <c r="T8" s="38">
        <v>0.4463</v>
      </c>
      <c r="U8" s="38">
        <v>0.361</v>
      </c>
    </row>
    <row r="9" spans="1:21" s="13" customFormat="1" ht="64.5" customHeight="1">
      <c r="A9" s="7">
        <v>3</v>
      </c>
      <c r="B9" s="7" t="s">
        <v>31</v>
      </c>
      <c r="C9" s="7" t="s">
        <v>32</v>
      </c>
      <c r="D9" s="105">
        <v>39264</v>
      </c>
      <c r="E9" s="11">
        <v>0.4743</v>
      </c>
      <c r="F9" s="11">
        <v>0.3037</v>
      </c>
      <c r="G9" s="11">
        <v>0.3187</v>
      </c>
      <c r="H9" s="12">
        <v>26.54</v>
      </c>
      <c r="I9" s="12">
        <v>36.86</v>
      </c>
      <c r="J9" s="12">
        <v>23.47</v>
      </c>
      <c r="K9" s="12">
        <v>39.11</v>
      </c>
      <c r="L9" s="12">
        <v>45.63</v>
      </c>
      <c r="M9" s="12">
        <v>32.97</v>
      </c>
      <c r="N9" s="7" t="s">
        <v>33</v>
      </c>
      <c r="O9" s="105">
        <v>39264</v>
      </c>
      <c r="P9" s="38">
        <v>0.8077</v>
      </c>
      <c r="Q9" s="38">
        <v>0.5482</v>
      </c>
      <c r="R9" s="38">
        <v>0.8077</v>
      </c>
      <c r="S9" s="38">
        <v>0.6484</v>
      </c>
      <c r="T9" s="38">
        <v>0.8077</v>
      </c>
      <c r="U9" s="38">
        <v>0.8077</v>
      </c>
    </row>
    <row r="10" spans="1:21" s="13" customFormat="1" ht="64.5" customHeight="1">
      <c r="A10" s="7">
        <v>4</v>
      </c>
      <c r="B10" s="7" t="s">
        <v>34</v>
      </c>
      <c r="C10" s="7" t="s">
        <v>35</v>
      </c>
      <c r="D10" s="105">
        <v>39203</v>
      </c>
      <c r="E10" s="11">
        <v>0.5578</v>
      </c>
      <c r="F10" s="11">
        <v>0.481</v>
      </c>
      <c r="G10" s="11">
        <v>0.6</v>
      </c>
      <c r="H10" s="12">
        <v>25</v>
      </c>
      <c r="I10" s="12">
        <v>40</v>
      </c>
      <c r="J10" s="12">
        <v>25</v>
      </c>
      <c r="K10" s="12">
        <v>45</v>
      </c>
      <c r="L10" s="12">
        <v>50</v>
      </c>
      <c r="M10" s="12">
        <v>40</v>
      </c>
      <c r="N10" s="7" t="s">
        <v>36</v>
      </c>
      <c r="O10" s="105">
        <v>37257</v>
      </c>
      <c r="P10" s="38">
        <v>0.675</v>
      </c>
      <c r="Q10" s="38">
        <v>0.5738</v>
      </c>
      <c r="R10" s="38">
        <v>0.675</v>
      </c>
      <c r="S10" s="38">
        <v>0.615</v>
      </c>
      <c r="T10" s="38">
        <v>0.675</v>
      </c>
      <c r="U10" s="38">
        <v>0.675</v>
      </c>
    </row>
    <row r="11" spans="1:21" s="13" customFormat="1" ht="64.5" customHeight="1">
      <c r="A11" s="7">
        <v>5</v>
      </c>
      <c r="B11" s="7" t="s">
        <v>37</v>
      </c>
      <c r="C11" s="7" t="s">
        <v>38</v>
      </c>
      <c r="D11" s="105">
        <v>39448</v>
      </c>
      <c r="E11" s="11">
        <v>0.384</v>
      </c>
      <c r="F11" s="11">
        <v>0.215</v>
      </c>
      <c r="G11" s="11">
        <v>0.307</v>
      </c>
      <c r="H11" s="12">
        <f>31.4-18*0.25</f>
        <v>26.9</v>
      </c>
      <c r="I11" s="12">
        <f>43.15-25*0.25</f>
        <v>36.9</v>
      </c>
      <c r="J11" s="12">
        <f>H11</f>
        <v>26.9</v>
      </c>
      <c r="K11" s="12">
        <f>44.4-30*0.25</f>
        <v>36.9</v>
      </c>
      <c r="L11" s="12">
        <f>54.95-0.25*35</f>
        <v>46.2</v>
      </c>
      <c r="M11" s="12">
        <f>40.85-25*0.25</f>
        <v>34.6</v>
      </c>
      <c r="N11" s="7" t="s">
        <v>39</v>
      </c>
      <c r="O11" s="105">
        <v>39448</v>
      </c>
      <c r="P11" s="38">
        <v>0.65</v>
      </c>
      <c r="Q11" s="38">
        <v>0.404</v>
      </c>
      <c r="R11" s="38">
        <v>0.65</v>
      </c>
      <c r="S11" s="38">
        <v>0.584</v>
      </c>
      <c r="T11" s="38">
        <v>0.65</v>
      </c>
      <c r="U11" s="38">
        <v>0.65</v>
      </c>
    </row>
    <row r="12" spans="1:21" s="13" customFormat="1" ht="64.5" customHeight="1">
      <c r="A12" s="7">
        <v>6</v>
      </c>
      <c r="B12" s="7" t="s">
        <v>40</v>
      </c>
      <c r="C12" s="7" t="s">
        <v>41</v>
      </c>
      <c r="D12" s="105">
        <v>39203</v>
      </c>
      <c r="E12" s="11">
        <v>0.4586</v>
      </c>
      <c r="F12" s="11">
        <v>0.3884</v>
      </c>
      <c r="G12" s="11">
        <v>0.4385</v>
      </c>
      <c r="H12" s="12">
        <v>28</v>
      </c>
      <c r="I12" s="12">
        <v>42</v>
      </c>
      <c r="J12" s="12">
        <v>26.67</v>
      </c>
      <c r="K12" s="12">
        <v>46.67</v>
      </c>
      <c r="L12" s="12">
        <v>60</v>
      </c>
      <c r="M12" s="12">
        <v>40.66</v>
      </c>
      <c r="N12" s="7" t="s">
        <v>42</v>
      </c>
      <c r="O12" s="105">
        <v>39203</v>
      </c>
      <c r="P12" s="38">
        <v>0.5134</v>
      </c>
      <c r="Q12" s="38">
        <v>0.482</v>
      </c>
      <c r="R12" s="38">
        <v>0.5134</v>
      </c>
      <c r="S12" s="38">
        <v>0.5682</v>
      </c>
      <c r="T12" s="38">
        <v>0.5134</v>
      </c>
      <c r="U12" s="38">
        <v>0.66</v>
      </c>
    </row>
    <row r="13" spans="1:21" s="13" customFormat="1" ht="64.5" customHeight="1">
      <c r="A13" s="7">
        <v>7</v>
      </c>
      <c r="B13" s="7" t="s">
        <v>43</v>
      </c>
      <c r="C13" s="7" t="s">
        <v>44</v>
      </c>
      <c r="D13" s="105">
        <v>39264</v>
      </c>
      <c r="E13" s="11">
        <v>0.1933</v>
      </c>
      <c r="F13" s="11">
        <v>0.164</v>
      </c>
      <c r="G13" s="11">
        <v>0.164</v>
      </c>
      <c r="H13" s="12">
        <v>21</v>
      </c>
      <c r="I13" s="12">
        <v>30</v>
      </c>
      <c r="J13" s="12">
        <v>21</v>
      </c>
      <c r="K13" s="12">
        <v>34.8</v>
      </c>
      <c r="L13" s="12">
        <v>42</v>
      </c>
      <c r="M13" s="12">
        <v>29.1</v>
      </c>
      <c r="N13" s="7" t="s">
        <v>45</v>
      </c>
      <c r="O13" s="105">
        <v>39264</v>
      </c>
      <c r="P13" s="38">
        <v>0.4625</v>
      </c>
      <c r="Q13" s="38">
        <v>0.3831</v>
      </c>
      <c r="R13" s="38">
        <v>0.4625</v>
      </c>
      <c r="S13" s="38">
        <v>0.455</v>
      </c>
      <c r="T13" s="38">
        <v>0.4625</v>
      </c>
      <c r="U13" s="38">
        <v>0.4625</v>
      </c>
    </row>
    <row r="14" spans="1:21" s="13" customFormat="1" ht="64.5" customHeight="1">
      <c r="A14" s="7">
        <v>8</v>
      </c>
      <c r="B14" s="7" t="s">
        <v>46</v>
      </c>
      <c r="C14" s="7" t="s">
        <v>112</v>
      </c>
      <c r="D14" s="105">
        <v>39539</v>
      </c>
      <c r="E14" s="11">
        <v>0.18</v>
      </c>
      <c r="F14" s="11">
        <v>0.22</v>
      </c>
      <c r="G14" s="11">
        <v>0.16</v>
      </c>
      <c r="H14" s="12">
        <v>34.72</v>
      </c>
      <c r="I14" s="12">
        <v>51.55</v>
      </c>
      <c r="J14" s="12">
        <v>34.72</v>
      </c>
      <c r="K14" s="12">
        <v>55.55</v>
      </c>
      <c r="L14" s="12">
        <v>69.43</v>
      </c>
      <c r="M14" s="12">
        <v>48.6</v>
      </c>
      <c r="N14" s="7" t="s">
        <v>111</v>
      </c>
      <c r="O14" s="105">
        <v>39539</v>
      </c>
      <c r="P14" s="38">
        <v>0.08</v>
      </c>
      <c r="Q14" s="38">
        <v>0.12</v>
      </c>
      <c r="R14" s="38">
        <v>0.07</v>
      </c>
      <c r="S14" s="38">
        <v>0.1</v>
      </c>
      <c r="T14" s="38">
        <v>0.08</v>
      </c>
      <c r="U14" s="38">
        <v>0.07</v>
      </c>
    </row>
    <row r="15" spans="1:21" s="13" customFormat="1" ht="64.5" customHeight="1">
      <c r="A15" s="7">
        <v>9</v>
      </c>
      <c r="B15" s="7" t="s">
        <v>47</v>
      </c>
      <c r="C15" s="7" t="s">
        <v>48</v>
      </c>
      <c r="D15" s="105">
        <v>39448</v>
      </c>
      <c r="E15" s="11">
        <v>0.212</v>
      </c>
      <c r="F15" s="11">
        <v>0.181</v>
      </c>
      <c r="G15" s="11">
        <v>0.195</v>
      </c>
      <c r="H15" s="12">
        <v>24.5</v>
      </c>
      <c r="I15" s="12">
        <v>33.75</v>
      </c>
      <c r="J15" s="12">
        <v>24.5</v>
      </c>
      <c r="K15" s="12">
        <v>33.5</v>
      </c>
      <c r="L15" s="12">
        <v>39.25</v>
      </c>
      <c r="M15" s="12">
        <v>33.75</v>
      </c>
      <c r="N15" s="7" t="s">
        <v>49</v>
      </c>
      <c r="O15" s="105">
        <v>39448</v>
      </c>
      <c r="P15" s="38">
        <v>0.2496</v>
      </c>
      <c r="Q15" s="38">
        <v>0.2278</v>
      </c>
      <c r="R15" s="38">
        <v>0.2345</v>
      </c>
      <c r="S15" s="38">
        <v>0.242</v>
      </c>
      <c r="T15" s="38">
        <v>0.2687</v>
      </c>
      <c r="U15" s="38">
        <v>0.286</v>
      </c>
    </row>
    <row r="16" spans="1:21" s="13" customFormat="1" ht="64.5" customHeight="1">
      <c r="A16" s="7">
        <v>10</v>
      </c>
      <c r="B16" s="7" t="s">
        <v>50</v>
      </c>
      <c r="C16" s="7" t="s">
        <v>51</v>
      </c>
      <c r="D16" s="105">
        <v>39448</v>
      </c>
      <c r="E16" s="11">
        <v>0.3782</v>
      </c>
      <c r="F16" s="11">
        <v>0.2571</v>
      </c>
      <c r="G16" s="11">
        <v>0.4</v>
      </c>
      <c r="H16" s="12">
        <v>35</v>
      </c>
      <c r="I16" s="12">
        <v>48</v>
      </c>
      <c r="J16" s="12">
        <v>35</v>
      </c>
      <c r="K16" s="12">
        <v>55</v>
      </c>
      <c r="L16" s="12">
        <v>60</v>
      </c>
      <c r="M16" s="12">
        <v>50</v>
      </c>
      <c r="N16" s="7" t="s">
        <v>52</v>
      </c>
      <c r="O16" s="105">
        <v>39448</v>
      </c>
      <c r="P16" s="38">
        <v>0.595</v>
      </c>
      <c r="Q16" s="38">
        <v>0.426</v>
      </c>
      <c r="R16" s="38">
        <v>0.595</v>
      </c>
      <c r="S16" s="38">
        <v>0.655</v>
      </c>
      <c r="T16" s="38">
        <v>0.4925</v>
      </c>
      <c r="U16" s="38">
        <v>0.4925</v>
      </c>
    </row>
    <row r="17" spans="1:21" s="13" customFormat="1" ht="64.5" customHeight="1">
      <c r="A17" s="7">
        <v>11</v>
      </c>
      <c r="B17" s="7" t="s">
        <v>53</v>
      </c>
      <c r="C17" s="7" t="s">
        <v>113</v>
      </c>
      <c r="D17" s="105">
        <v>39600</v>
      </c>
      <c r="E17" s="11">
        <v>0.235</v>
      </c>
      <c r="F17" s="11">
        <v>0.224</v>
      </c>
      <c r="G17" s="11">
        <v>0.22</v>
      </c>
      <c r="H17" s="12">
        <v>28</v>
      </c>
      <c r="I17" s="12">
        <v>37.85</v>
      </c>
      <c r="J17" s="12">
        <v>28.4</v>
      </c>
      <c r="K17" s="12">
        <v>44.6</v>
      </c>
      <c r="L17" s="12">
        <v>51.35</v>
      </c>
      <c r="M17" s="12">
        <v>37.35</v>
      </c>
      <c r="N17" s="7" t="s">
        <v>114</v>
      </c>
      <c r="O17" s="105">
        <v>39600</v>
      </c>
      <c r="P17" s="38">
        <v>0.261</v>
      </c>
      <c r="Q17" s="38">
        <v>0.268</v>
      </c>
      <c r="R17" s="38">
        <v>0.261</v>
      </c>
      <c r="S17" s="38">
        <v>0.268</v>
      </c>
      <c r="T17" s="38">
        <v>0.268</v>
      </c>
      <c r="U17" s="38">
        <v>0.261</v>
      </c>
    </row>
    <row r="18" spans="1:21" s="13" customFormat="1" ht="64.5" customHeight="1">
      <c r="A18" s="7">
        <v>12</v>
      </c>
      <c r="B18" s="7" t="s">
        <v>56</v>
      </c>
      <c r="C18" s="7" t="s">
        <v>57</v>
      </c>
      <c r="D18" s="105">
        <v>39448</v>
      </c>
      <c r="E18" s="11">
        <v>0.44</v>
      </c>
      <c r="F18" s="11">
        <v>0.254</v>
      </c>
      <c r="G18" s="11">
        <v>0.3592</v>
      </c>
      <c r="H18" s="12">
        <f>30.42-18*0.25</f>
        <v>25.92</v>
      </c>
      <c r="I18" s="12">
        <f>42.25-25*0.25</f>
        <v>36</v>
      </c>
      <c r="J18" s="12">
        <f>30.42-18*0.25</f>
        <v>25.92</v>
      </c>
      <c r="K18" s="12">
        <f>44.22-30*0.25</f>
        <v>36.72</v>
      </c>
      <c r="L18" s="12">
        <f>53.39-35*0.25</f>
        <v>44.64</v>
      </c>
      <c r="M18" s="12">
        <f>40.23-25*0.25</f>
        <v>33.98</v>
      </c>
      <c r="N18" s="7" t="s">
        <v>58</v>
      </c>
      <c r="O18" s="105">
        <v>39448</v>
      </c>
      <c r="P18" s="38">
        <v>0.4994</v>
      </c>
      <c r="Q18" s="38">
        <v>0.2573</v>
      </c>
      <c r="R18" s="38">
        <v>0.4994</v>
      </c>
      <c r="S18" s="38">
        <v>0.4443</v>
      </c>
      <c r="T18" s="38">
        <v>0.4994</v>
      </c>
      <c r="U18" s="38">
        <v>0.5574</v>
      </c>
    </row>
    <row r="19" spans="1:21" s="13" customFormat="1" ht="64.5" customHeight="1">
      <c r="A19" s="7">
        <v>13</v>
      </c>
      <c r="B19" s="7" t="s">
        <v>59</v>
      </c>
      <c r="C19" s="7" t="s">
        <v>60</v>
      </c>
      <c r="D19" s="105">
        <v>39448</v>
      </c>
      <c r="E19" s="11">
        <v>0.9804</v>
      </c>
      <c r="F19" s="11">
        <v>0.962</v>
      </c>
      <c r="G19" s="11">
        <v>0.96</v>
      </c>
      <c r="H19" s="12">
        <f>44.5-18*0.25</f>
        <v>40</v>
      </c>
      <c r="I19" s="12">
        <f>54.25-25*0.25</f>
        <v>48</v>
      </c>
      <c r="J19" s="12">
        <f>H19</f>
        <v>40</v>
      </c>
      <c r="K19" s="12">
        <f>65.5-0.25*30</f>
        <v>58</v>
      </c>
      <c r="L19" s="12">
        <f>73.75-35*0.25</f>
        <v>65</v>
      </c>
      <c r="M19" s="12">
        <f>55.25-25*0.25</f>
        <v>49</v>
      </c>
      <c r="N19" s="7" t="s">
        <v>61</v>
      </c>
      <c r="O19" s="105">
        <v>39448</v>
      </c>
      <c r="P19" s="38">
        <v>1.207</v>
      </c>
      <c r="Q19" s="38">
        <v>1.11</v>
      </c>
      <c r="R19" s="38">
        <v>0.8288</v>
      </c>
      <c r="S19" s="38">
        <v>1.2325</v>
      </c>
      <c r="T19" s="38">
        <v>1.207</v>
      </c>
      <c r="U19" s="38">
        <v>0.8288</v>
      </c>
    </row>
    <row r="20" spans="1:21" s="13" customFormat="1" ht="64.5" customHeight="1">
      <c r="A20" s="7">
        <v>14</v>
      </c>
      <c r="B20" s="7" t="s">
        <v>62</v>
      </c>
      <c r="C20" s="7" t="s">
        <v>115</v>
      </c>
      <c r="D20" s="105">
        <v>39569</v>
      </c>
      <c r="E20" s="11">
        <v>0.3478</v>
      </c>
      <c r="F20" s="11">
        <v>0.3093</v>
      </c>
      <c r="G20" s="11">
        <v>0.3168</v>
      </c>
      <c r="H20" s="12">
        <v>33</v>
      </c>
      <c r="I20" s="12">
        <v>43.5</v>
      </c>
      <c r="J20" s="12">
        <v>33</v>
      </c>
      <c r="K20" s="12">
        <v>46.5</v>
      </c>
      <c r="L20" s="12">
        <v>65</v>
      </c>
      <c r="M20" s="12">
        <v>42.5</v>
      </c>
      <c r="N20" s="7" t="s">
        <v>116</v>
      </c>
      <c r="O20" s="105">
        <v>39569</v>
      </c>
      <c r="P20" s="38">
        <v>0.4725</v>
      </c>
      <c r="Q20" s="38">
        <v>0.4335</v>
      </c>
      <c r="R20" s="38">
        <v>0.4725</v>
      </c>
      <c r="S20" s="38">
        <v>0.425</v>
      </c>
      <c r="T20" s="38">
        <v>0.4725</v>
      </c>
      <c r="U20" s="38">
        <v>0.5125</v>
      </c>
    </row>
    <row r="21" spans="1:21" s="13" customFormat="1" ht="64.5" customHeight="1">
      <c r="A21" s="7">
        <v>15</v>
      </c>
      <c r="B21" s="7" t="s">
        <v>65</v>
      </c>
      <c r="C21" s="7" t="s">
        <v>66</v>
      </c>
      <c r="D21" s="105">
        <v>39295</v>
      </c>
      <c r="E21" s="11">
        <v>0.305</v>
      </c>
      <c r="F21" s="11">
        <v>0.177</v>
      </c>
      <c r="G21" s="11">
        <v>0.392</v>
      </c>
      <c r="H21" s="15">
        <v>23.43</v>
      </c>
      <c r="I21" s="15">
        <v>32.65</v>
      </c>
      <c r="J21" s="15">
        <v>23.43</v>
      </c>
      <c r="K21" s="15">
        <v>34.8</v>
      </c>
      <c r="L21" s="15">
        <v>40.6</v>
      </c>
      <c r="M21" s="15">
        <v>34.8</v>
      </c>
      <c r="N21" s="7" t="s">
        <v>67</v>
      </c>
      <c r="O21" s="105">
        <v>39295</v>
      </c>
      <c r="P21" s="39">
        <v>0.3982</v>
      </c>
      <c r="Q21" s="38">
        <v>0.4542</v>
      </c>
      <c r="R21" s="38">
        <v>0.4122</v>
      </c>
      <c r="S21" s="38">
        <v>0.4794</v>
      </c>
      <c r="T21" s="38">
        <v>0.4122</v>
      </c>
      <c r="U21" s="38">
        <v>0.447</v>
      </c>
    </row>
    <row r="22" spans="1:21" s="13" customFormat="1" ht="64.5" customHeight="1">
      <c r="A22" s="7">
        <v>16</v>
      </c>
      <c r="B22" s="7" t="s">
        <v>68</v>
      </c>
      <c r="C22" s="7" t="s">
        <v>69</v>
      </c>
      <c r="D22" s="105">
        <v>39264</v>
      </c>
      <c r="E22" s="11">
        <v>0.178</v>
      </c>
      <c r="F22" s="11">
        <v>0.0902</v>
      </c>
      <c r="G22" s="11">
        <v>0.14</v>
      </c>
      <c r="H22" s="12">
        <v>22.5</v>
      </c>
      <c r="I22" s="12">
        <v>29</v>
      </c>
      <c r="J22" s="12">
        <v>22.5</v>
      </c>
      <c r="K22" s="12">
        <v>32</v>
      </c>
      <c r="L22" s="12">
        <v>38</v>
      </c>
      <c r="M22" s="12">
        <v>28.5</v>
      </c>
      <c r="N22" s="7" t="s">
        <v>70</v>
      </c>
      <c r="O22" s="105">
        <v>39264</v>
      </c>
      <c r="P22" s="38">
        <v>0.1855</v>
      </c>
      <c r="Q22" s="38">
        <v>0.128</v>
      </c>
      <c r="R22" s="38">
        <v>0.1855</v>
      </c>
      <c r="S22" s="38">
        <v>0.176</v>
      </c>
      <c r="T22" s="38">
        <v>0.1875</v>
      </c>
      <c r="U22" s="38">
        <v>0.187</v>
      </c>
    </row>
    <row r="23" spans="1:21" s="13" customFormat="1" ht="64.5" customHeight="1">
      <c r="A23" s="7">
        <v>17</v>
      </c>
      <c r="B23" s="7" t="s">
        <v>71</v>
      </c>
      <c r="C23" s="7" t="s">
        <v>72</v>
      </c>
      <c r="D23" s="105">
        <v>39448</v>
      </c>
      <c r="E23" s="11">
        <v>0.6156</v>
      </c>
      <c r="F23" s="11">
        <v>0.6453</v>
      </c>
      <c r="G23" s="11">
        <v>0.6508</v>
      </c>
      <c r="H23" s="12">
        <f>39.5-0.25*18</f>
        <v>35</v>
      </c>
      <c r="I23" s="12">
        <f>58.25-25*0.25</f>
        <v>52</v>
      </c>
      <c r="J23" s="12">
        <f>39.5-0.25*18</f>
        <v>35</v>
      </c>
      <c r="K23" s="12">
        <f>64.5-30*0.25</f>
        <v>57</v>
      </c>
      <c r="L23" s="12">
        <f>73.75-35*0.25</f>
        <v>65</v>
      </c>
      <c r="M23" s="12">
        <f>62.25-25*0.25</f>
        <v>56</v>
      </c>
      <c r="N23" s="7" t="s">
        <v>73</v>
      </c>
      <c r="O23" s="105">
        <v>39448</v>
      </c>
      <c r="P23" s="38">
        <v>0.7521</v>
      </c>
      <c r="Q23" s="38">
        <v>0.7157</v>
      </c>
      <c r="R23" s="38">
        <v>0.7141</v>
      </c>
      <c r="S23" s="38">
        <v>0.9106</v>
      </c>
      <c r="T23" s="38">
        <v>0.7565</v>
      </c>
      <c r="U23" s="38">
        <v>0.7813</v>
      </c>
    </row>
    <row r="24" spans="1:21" s="13" customFormat="1" ht="64.5" customHeight="1">
      <c r="A24" s="7">
        <v>18</v>
      </c>
      <c r="B24" s="7" t="s">
        <v>74</v>
      </c>
      <c r="C24" s="8" t="s">
        <v>117</v>
      </c>
      <c r="D24" s="105">
        <v>39142</v>
      </c>
      <c r="E24" s="11">
        <v>0.3018</v>
      </c>
      <c r="F24" s="11">
        <v>0.1914</v>
      </c>
      <c r="G24" s="11">
        <v>0.2</v>
      </c>
      <c r="H24" s="12">
        <v>27</v>
      </c>
      <c r="I24" s="12">
        <v>37</v>
      </c>
      <c r="J24" s="12">
        <v>27</v>
      </c>
      <c r="K24" s="12">
        <v>40</v>
      </c>
      <c r="L24" s="12">
        <v>44</v>
      </c>
      <c r="M24" s="12">
        <v>32</v>
      </c>
      <c r="N24" s="7" t="s">
        <v>118</v>
      </c>
      <c r="O24" s="105">
        <v>39569</v>
      </c>
      <c r="P24" s="38">
        <v>0.5925</v>
      </c>
      <c r="Q24" s="38">
        <v>0.398</v>
      </c>
      <c r="R24" s="38">
        <v>0.5925</v>
      </c>
      <c r="S24" s="38">
        <v>0.5</v>
      </c>
      <c r="T24" s="38">
        <v>0.5925</v>
      </c>
      <c r="U24" s="38">
        <v>0.5925</v>
      </c>
    </row>
    <row r="25" spans="1:21" s="13" customFormat="1" ht="64.5" customHeight="1">
      <c r="A25" s="7">
        <v>19</v>
      </c>
      <c r="B25" s="7" t="s">
        <v>76</v>
      </c>
      <c r="C25" s="7" t="s">
        <v>83</v>
      </c>
      <c r="D25" s="105">
        <v>39264</v>
      </c>
      <c r="E25" s="11">
        <v>0.86</v>
      </c>
      <c r="F25" s="11">
        <v>0.62</v>
      </c>
      <c r="G25" s="11">
        <v>0.78</v>
      </c>
      <c r="H25" s="12">
        <v>26</v>
      </c>
      <c r="I25" s="12">
        <v>49</v>
      </c>
      <c r="J25" s="12">
        <v>26</v>
      </c>
      <c r="K25" s="12">
        <v>50</v>
      </c>
      <c r="L25" s="12">
        <v>51</v>
      </c>
      <c r="M25" s="12">
        <v>44</v>
      </c>
      <c r="N25" s="7" t="s">
        <v>84</v>
      </c>
      <c r="O25" s="105">
        <v>39234</v>
      </c>
      <c r="P25" s="38">
        <v>1.29</v>
      </c>
      <c r="Q25" s="38">
        <v>0.94</v>
      </c>
      <c r="R25" s="38">
        <v>1.29</v>
      </c>
      <c r="S25" s="38">
        <v>1.22</v>
      </c>
      <c r="T25" s="38">
        <v>1.29</v>
      </c>
      <c r="U25" s="38">
        <v>1.29</v>
      </c>
    </row>
    <row r="26" spans="1:21" s="13" customFormat="1" ht="64.5" customHeight="1">
      <c r="A26" s="7">
        <v>20</v>
      </c>
      <c r="B26" s="7" t="s">
        <v>77</v>
      </c>
      <c r="C26" s="7" t="s">
        <v>119</v>
      </c>
      <c r="D26" s="105">
        <v>39600</v>
      </c>
      <c r="E26" s="11">
        <v>0.84</v>
      </c>
      <c r="F26" s="11">
        <v>0.73</v>
      </c>
      <c r="G26" s="11">
        <v>0.7</v>
      </c>
      <c r="H26" s="12">
        <v>38</v>
      </c>
      <c r="I26" s="12">
        <v>52</v>
      </c>
      <c r="J26" s="12">
        <v>38</v>
      </c>
      <c r="K26" s="12">
        <v>59</v>
      </c>
      <c r="L26" s="12">
        <v>71</v>
      </c>
      <c r="M26" s="12">
        <v>49</v>
      </c>
      <c r="N26" s="7" t="s">
        <v>120</v>
      </c>
      <c r="O26" s="105">
        <v>39600</v>
      </c>
      <c r="P26" s="38">
        <v>1.25</v>
      </c>
      <c r="Q26" s="38">
        <v>1.06</v>
      </c>
      <c r="R26" s="38">
        <v>1.25</v>
      </c>
      <c r="S26" s="38">
        <v>1.12</v>
      </c>
      <c r="T26" s="38">
        <v>1.25</v>
      </c>
      <c r="U26" s="38">
        <v>1.25</v>
      </c>
    </row>
    <row r="27" spans="1:21" s="13" customFormat="1" ht="64.5" customHeight="1">
      <c r="A27" s="7">
        <v>21</v>
      </c>
      <c r="B27" s="7" t="s">
        <v>80</v>
      </c>
      <c r="C27" s="7" t="s">
        <v>81</v>
      </c>
      <c r="D27" s="105">
        <v>39264</v>
      </c>
      <c r="E27" s="11">
        <v>0.4075</v>
      </c>
      <c r="F27" s="11">
        <v>0.328</v>
      </c>
      <c r="G27" s="11">
        <v>0.396</v>
      </c>
      <c r="H27" s="12">
        <v>25.3</v>
      </c>
      <c r="I27" s="12">
        <v>35.2</v>
      </c>
      <c r="J27" s="12">
        <v>25.3</v>
      </c>
      <c r="K27" s="12">
        <v>39.4</v>
      </c>
      <c r="L27" s="12">
        <v>47.7</v>
      </c>
      <c r="M27" s="12">
        <v>34.9</v>
      </c>
      <c r="N27" s="7" t="s">
        <v>82</v>
      </c>
      <c r="O27" s="105">
        <v>39264</v>
      </c>
      <c r="P27" s="38">
        <v>0.5675</v>
      </c>
      <c r="Q27" s="38">
        <v>0.456</v>
      </c>
      <c r="R27" s="38">
        <v>0.5675</v>
      </c>
      <c r="S27" s="38">
        <v>0.57</v>
      </c>
      <c r="T27" s="38">
        <v>0.5675</v>
      </c>
      <c r="U27" s="38">
        <v>0.5675</v>
      </c>
    </row>
    <row r="28" spans="1:21" s="13" customFormat="1" ht="57.75" customHeight="1">
      <c r="A28" s="147" t="s">
        <v>85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9"/>
    </row>
    <row r="35" ht="12.75" thickBot="1"/>
    <row r="36" spans="7:13" ht="14.25" customHeight="1">
      <c r="G36" s="25"/>
      <c r="H36" s="25"/>
      <c r="I36" s="25"/>
      <c r="J36" s="25"/>
      <c r="K36" s="25"/>
      <c r="L36" s="25"/>
      <c r="M36" s="26"/>
    </row>
    <row r="37" spans="7:13" ht="14.25" customHeight="1">
      <c r="G37" s="27"/>
      <c r="H37" s="27"/>
      <c r="I37" s="27"/>
      <c r="J37" s="27"/>
      <c r="K37" s="27"/>
      <c r="L37" s="27"/>
      <c r="M37" s="26"/>
    </row>
    <row r="38" spans="7:13" ht="14.25" customHeight="1">
      <c r="G38" s="27"/>
      <c r="H38" s="27"/>
      <c r="I38" s="27"/>
      <c r="J38" s="27"/>
      <c r="K38" s="27"/>
      <c r="L38" s="27"/>
      <c r="M38" s="26"/>
    </row>
    <row r="39" spans="7:13" ht="14.25" customHeight="1">
      <c r="G39" s="27"/>
      <c r="H39" s="27"/>
      <c r="I39" s="27"/>
      <c r="J39" s="27"/>
      <c r="K39" s="27"/>
      <c r="L39" s="27"/>
      <c r="M39" s="26"/>
    </row>
    <row r="40" spans="7:13" ht="14.25" customHeight="1">
      <c r="G40" s="27"/>
      <c r="H40" s="27"/>
      <c r="I40" s="27"/>
      <c r="J40" s="27"/>
      <c r="K40" s="27"/>
      <c r="L40" s="27"/>
      <c r="M40" s="26"/>
    </row>
    <row r="41" spans="7:13" ht="15" customHeight="1" thickBot="1">
      <c r="G41" s="28"/>
      <c r="H41" s="28"/>
      <c r="I41" s="28"/>
      <c r="J41" s="28"/>
      <c r="K41" s="28"/>
      <c r="L41" s="28"/>
      <c r="M41" s="26"/>
    </row>
    <row r="42" ht="12.75" thickBot="1"/>
    <row r="43" spans="13:19" ht="13.5">
      <c r="M43" s="164"/>
      <c r="N43" s="164"/>
      <c r="O43" s="135"/>
      <c r="P43" s="164"/>
      <c r="Q43" s="164"/>
      <c r="R43" s="164"/>
      <c r="S43" s="26"/>
    </row>
    <row r="44" spans="13:19" ht="13.5">
      <c r="M44" s="165"/>
      <c r="N44" s="165"/>
      <c r="O44" s="136"/>
      <c r="P44" s="165"/>
      <c r="Q44" s="165"/>
      <c r="R44" s="165"/>
      <c r="S44" s="26"/>
    </row>
    <row r="45" spans="13:19" ht="13.5">
      <c r="M45" s="165"/>
      <c r="N45" s="165"/>
      <c r="O45" s="136"/>
      <c r="P45" s="165"/>
      <c r="Q45" s="165"/>
      <c r="R45" s="165"/>
      <c r="S45" s="26"/>
    </row>
    <row r="46" spans="13:19" ht="13.5">
      <c r="M46" s="165"/>
      <c r="N46" s="165"/>
      <c r="O46" s="136"/>
      <c r="P46" s="165"/>
      <c r="Q46" s="165"/>
      <c r="R46" s="165"/>
      <c r="S46" s="26"/>
    </row>
    <row r="47" spans="13:19" ht="13.5">
      <c r="M47" s="165"/>
      <c r="N47" s="165"/>
      <c r="O47" s="136"/>
      <c r="P47" s="165"/>
      <c r="Q47" s="165"/>
      <c r="R47" s="165"/>
      <c r="S47" s="26"/>
    </row>
    <row r="48" spans="13:19" ht="14.25" thickBot="1">
      <c r="M48" s="166"/>
      <c r="N48" s="166"/>
      <c r="O48" s="137"/>
      <c r="P48" s="166"/>
      <c r="Q48" s="166"/>
      <c r="R48" s="166"/>
      <c r="S48" s="26"/>
    </row>
  </sheetData>
  <sheetProtection/>
  <mergeCells count="20">
    <mergeCell ref="A1:U1"/>
    <mergeCell ref="A2:A4"/>
    <mergeCell ref="B2:B4"/>
    <mergeCell ref="C2:M2"/>
    <mergeCell ref="N2:U2"/>
    <mergeCell ref="C3:C4"/>
    <mergeCell ref="D3:D4"/>
    <mergeCell ref="E3:G3"/>
    <mergeCell ref="H3:M3"/>
    <mergeCell ref="N3:N4"/>
    <mergeCell ref="R43:R48"/>
    <mergeCell ref="O3:O4"/>
    <mergeCell ref="P3:U3"/>
    <mergeCell ref="A5:A7"/>
    <mergeCell ref="A28:U28"/>
    <mergeCell ref="M43:M48"/>
    <mergeCell ref="N43:N48"/>
    <mergeCell ref="O43:O48"/>
    <mergeCell ref="P43:P48"/>
    <mergeCell ref="Q43:Q48"/>
  </mergeCells>
  <printOptions/>
  <pageMargins left="0.12" right="0.4724409448818898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="91" zoomScaleNormal="9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6" sqref="F6"/>
    </sheetView>
  </sheetViews>
  <sheetFormatPr defaultColWidth="9.140625" defaultRowHeight="12"/>
  <cols>
    <col min="1" max="2" width="3.421875" style="1" customWidth="1"/>
    <col min="3" max="3" width="13.28125" style="1" customWidth="1"/>
    <col min="4" max="4" width="20.57421875" style="1" hidden="1" customWidth="1"/>
    <col min="5" max="11" width="9.28125" style="2" customWidth="1"/>
    <col min="12" max="17" width="9.28125" style="3" customWidth="1"/>
    <col min="18" max="18" width="11.8515625" style="22" customWidth="1"/>
    <col min="19" max="16384" width="9.140625" style="1" customWidth="1"/>
  </cols>
  <sheetData>
    <row r="1" spans="1:18" s="4" customFormat="1" ht="48.75" customHeight="1">
      <c r="A1" s="158" t="s">
        <v>131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s="10" customFormat="1" ht="18.75" customHeight="1">
      <c r="A2" s="153" t="s">
        <v>129</v>
      </c>
      <c r="B2" s="153" t="s">
        <v>130</v>
      </c>
      <c r="C2" s="153"/>
      <c r="D2" s="153" t="s">
        <v>22</v>
      </c>
      <c r="E2" s="138" t="s">
        <v>136</v>
      </c>
      <c r="F2" s="138"/>
      <c r="G2" s="138"/>
      <c r="H2" s="138"/>
      <c r="I2" s="138"/>
      <c r="J2" s="138"/>
      <c r="K2" s="138"/>
      <c r="L2" s="138" t="s">
        <v>137</v>
      </c>
      <c r="M2" s="138"/>
      <c r="N2" s="138"/>
      <c r="O2" s="138"/>
      <c r="P2" s="138"/>
      <c r="Q2" s="138"/>
      <c r="R2" s="153" t="s">
        <v>99</v>
      </c>
    </row>
    <row r="3" spans="1:18" s="13" customFormat="1" ht="66.75" customHeight="1">
      <c r="A3" s="153"/>
      <c r="B3" s="153"/>
      <c r="C3" s="153"/>
      <c r="D3" s="153"/>
      <c r="E3" s="11" t="s">
        <v>6</v>
      </c>
      <c r="F3" s="11" t="s">
        <v>133</v>
      </c>
      <c r="G3" s="11" t="s">
        <v>134</v>
      </c>
      <c r="H3" s="11" t="s">
        <v>135</v>
      </c>
      <c r="I3" s="11" t="s">
        <v>91</v>
      </c>
      <c r="J3" s="11" t="s">
        <v>23</v>
      </c>
      <c r="K3" s="11" t="s">
        <v>9</v>
      </c>
      <c r="L3" s="12" t="s">
        <v>141</v>
      </c>
      <c r="M3" s="12" t="s">
        <v>138</v>
      </c>
      <c r="N3" s="12" t="s">
        <v>142</v>
      </c>
      <c r="O3" s="12" t="s">
        <v>143</v>
      </c>
      <c r="P3" s="12" t="s">
        <v>139</v>
      </c>
      <c r="Q3" s="12" t="s">
        <v>140</v>
      </c>
      <c r="R3" s="153"/>
    </row>
    <row r="4" spans="1:18" s="13" customFormat="1" ht="55.5" customHeight="1">
      <c r="A4" s="153">
        <v>1</v>
      </c>
      <c r="B4" s="139" t="s">
        <v>92</v>
      </c>
      <c r="C4" s="7" t="s">
        <v>24</v>
      </c>
      <c r="D4" s="7" t="s">
        <v>17</v>
      </c>
      <c r="E4" s="11">
        <v>0.74</v>
      </c>
      <c r="F4" s="11">
        <v>0.74</v>
      </c>
      <c r="G4" s="11">
        <v>0.74</v>
      </c>
      <c r="H4" s="11">
        <v>0.74</v>
      </c>
      <c r="I4" s="11">
        <v>0.74</v>
      </c>
      <c r="J4" s="11">
        <v>0.76</v>
      </c>
      <c r="K4" s="11">
        <v>0.8</v>
      </c>
      <c r="L4" s="72">
        <v>42</v>
      </c>
      <c r="M4" s="72">
        <v>57</v>
      </c>
      <c r="N4" s="72">
        <v>44</v>
      </c>
      <c r="O4" s="72">
        <v>61</v>
      </c>
      <c r="P4" s="72">
        <v>80</v>
      </c>
      <c r="Q4" s="72">
        <v>57</v>
      </c>
      <c r="R4" s="35"/>
    </row>
    <row r="5" spans="1:18" s="13" customFormat="1" ht="56.25" customHeight="1">
      <c r="A5" s="153"/>
      <c r="B5" s="139"/>
      <c r="C5" s="7" t="s">
        <v>26</v>
      </c>
      <c r="D5" s="7" t="s">
        <v>17</v>
      </c>
      <c r="E5" s="11">
        <v>0.68</v>
      </c>
      <c r="F5" s="11">
        <v>0.68</v>
      </c>
      <c r="G5" s="11">
        <v>0.68</v>
      </c>
      <c r="H5" s="11">
        <v>0.68</v>
      </c>
      <c r="I5" s="11">
        <v>0.68</v>
      </c>
      <c r="J5" s="11">
        <v>0.7</v>
      </c>
      <c r="K5" s="11">
        <v>0.74</v>
      </c>
      <c r="L5" s="72">
        <v>39</v>
      </c>
      <c r="M5" s="72">
        <v>52</v>
      </c>
      <c r="N5" s="72">
        <v>41</v>
      </c>
      <c r="O5" s="72">
        <v>56</v>
      </c>
      <c r="P5" s="72">
        <v>74</v>
      </c>
      <c r="Q5" s="72">
        <v>53</v>
      </c>
      <c r="R5" s="23"/>
    </row>
    <row r="6" spans="1:18" s="13" customFormat="1" ht="51" customHeight="1">
      <c r="A6" s="153"/>
      <c r="B6" s="139"/>
      <c r="C6" s="7" t="s">
        <v>27</v>
      </c>
      <c r="D6" s="7" t="s">
        <v>17</v>
      </c>
      <c r="E6" s="11">
        <v>0.61</v>
      </c>
      <c r="F6" s="11">
        <v>0.61</v>
      </c>
      <c r="G6" s="11">
        <v>0.61</v>
      </c>
      <c r="H6" s="11">
        <v>0.61</v>
      </c>
      <c r="I6" s="11">
        <v>0.61</v>
      </c>
      <c r="J6" s="11">
        <v>0.62</v>
      </c>
      <c r="K6" s="11">
        <v>0.66</v>
      </c>
      <c r="L6" s="72">
        <v>35</v>
      </c>
      <c r="M6" s="72">
        <v>47</v>
      </c>
      <c r="N6" s="72">
        <v>36</v>
      </c>
      <c r="O6" s="72">
        <v>50</v>
      </c>
      <c r="P6" s="72">
        <v>66</v>
      </c>
      <c r="Q6" s="72">
        <v>47</v>
      </c>
      <c r="R6" s="23"/>
    </row>
    <row r="7" spans="1:18" s="13" customFormat="1" ht="29.25" customHeight="1">
      <c r="A7" s="153">
        <v>2</v>
      </c>
      <c r="B7" s="139" t="s">
        <v>121</v>
      </c>
      <c r="C7" s="7" t="s">
        <v>184</v>
      </c>
      <c r="D7" s="7" t="s">
        <v>29</v>
      </c>
      <c r="E7" s="11">
        <v>0.6066</v>
      </c>
      <c r="F7" s="11">
        <v>0.6066</v>
      </c>
      <c r="G7" s="11">
        <v>0.6066</v>
      </c>
      <c r="H7" s="11">
        <v>0.6066</v>
      </c>
      <c r="I7" s="11">
        <v>0.6066</v>
      </c>
      <c r="J7" s="11">
        <v>0.5576</v>
      </c>
      <c r="K7" s="11">
        <v>0.632</v>
      </c>
      <c r="L7" s="12">
        <v>40.5</v>
      </c>
      <c r="M7" s="12">
        <v>61.25</v>
      </c>
      <c r="N7" s="12">
        <v>40.5</v>
      </c>
      <c r="O7" s="12">
        <v>63</v>
      </c>
      <c r="P7" s="12">
        <v>66.6</v>
      </c>
      <c r="Q7" s="12">
        <v>61.2</v>
      </c>
      <c r="R7" s="23"/>
    </row>
    <row r="8" spans="1:18" s="13" customFormat="1" ht="29.25" customHeight="1">
      <c r="A8" s="153"/>
      <c r="B8" s="139"/>
      <c r="C8" s="7" t="s">
        <v>185</v>
      </c>
      <c r="D8" s="7"/>
      <c r="E8" s="11">
        <v>0.6134</v>
      </c>
      <c r="F8" s="11">
        <v>0.6134</v>
      </c>
      <c r="G8" s="11">
        <v>0.6134</v>
      </c>
      <c r="H8" s="11">
        <v>0.6134</v>
      </c>
      <c r="I8" s="11">
        <v>0.6134</v>
      </c>
      <c r="J8" s="11">
        <v>0.553</v>
      </c>
      <c r="K8" s="11">
        <v>0.62</v>
      </c>
      <c r="L8" s="12">
        <v>40</v>
      </c>
      <c r="M8" s="12">
        <v>61.74</v>
      </c>
      <c r="N8" s="12">
        <v>40</v>
      </c>
      <c r="O8" s="12">
        <v>56.7</v>
      </c>
      <c r="P8" s="12">
        <v>66.6</v>
      </c>
      <c r="Q8" s="12">
        <v>60.2</v>
      </c>
      <c r="R8" s="23"/>
    </row>
    <row r="9" spans="1:18" s="13" customFormat="1" ht="29.25" customHeight="1">
      <c r="A9" s="153"/>
      <c r="B9" s="139"/>
      <c r="C9" s="7" t="s">
        <v>186</v>
      </c>
      <c r="D9" s="7"/>
      <c r="E9" s="11">
        <v>0.5574</v>
      </c>
      <c r="F9" s="11">
        <v>0.5574</v>
      </c>
      <c r="G9" s="11">
        <v>0.5574</v>
      </c>
      <c r="H9" s="11">
        <v>0.5574</v>
      </c>
      <c r="I9" s="11">
        <v>0.5574</v>
      </c>
      <c r="J9" s="11">
        <v>0.5383</v>
      </c>
      <c r="K9" s="11">
        <v>0.5472</v>
      </c>
      <c r="L9" s="12">
        <v>37</v>
      </c>
      <c r="M9" s="12">
        <v>60.9</v>
      </c>
      <c r="N9" s="12">
        <v>37</v>
      </c>
      <c r="O9" s="12">
        <v>56.88</v>
      </c>
      <c r="P9" s="12">
        <v>63.99</v>
      </c>
      <c r="Q9" s="12">
        <v>52.62</v>
      </c>
      <c r="R9" s="23"/>
    </row>
    <row r="10" spans="1:18" s="13" customFormat="1" ht="29.25" customHeight="1">
      <c r="A10" s="153"/>
      <c r="B10" s="139"/>
      <c r="C10" s="7" t="s">
        <v>187</v>
      </c>
      <c r="D10" s="7"/>
      <c r="E10" s="11">
        <v>0.516</v>
      </c>
      <c r="F10" s="11">
        <v>0.516</v>
      </c>
      <c r="G10" s="11">
        <v>0.516</v>
      </c>
      <c r="H10" s="11">
        <v>0.516</v>
      </c>
      <c r="I10" s="11">
        <v>0.516</v>
      </c>
      <c r="J10" s="11">
        <v>0.5424</v>
      </c>
      <c r="K10" s="11">
        <v>0.536</v>
      </c>
      <c r="L10" s="12">
        <v>36</v>
      </c>
      <c r="M10" s="12">
        <v>60.8</v>
      </c>
      <c r="N10" s="12">
        <v>36</v>
      </c>
      <c r="O10" s="12">
        <v>55.1</v>
      </c>
      <c r="P10" s="12">
        <v>61.2</v>
      </c>
      <c r="Q10" s="12">
        <v>53.6</v>
      </c>
      <c r="R10" s="23"/>
    </row>
    <row r="11" spans="1:18" s="13" customFormat="1" ht="29.25" customHeight="1">
      <c r="A11" s="153"/>
      <c r="B11" s="139"/>
      <c r="C11" s="7" t="s">
        <v>188</v>
      </c>
      <c r="D11" s="7"/>
      <c r="E11" s="11">
        <v>0.586</v>
      </c>
      <c r="F11" s="11">
        <v>0.586</v>
      </c>
      <c r="G11" s="11">
        <v>0.586</v>
      </c>
      <c r="H11" s="11">
        <v>0.586</v>
      </c>
      <c r="I11" s="11">
        <v>0.586</v>
      </c>
      <c r="J11" s="11">
        <v>0.4921</v>
      </c>
      <c r="K11" s="11">
        <v>0.52</v>
      </c>
      <c r="L11" s="12">
        <v>38.97</v>
      </c>
      <c r="M11" s="12">
        <v>60.7</v>
      </c>
      <c r="N11" s="12">
        <v>38.97</v>
      </c>
      <c r="O11" s="12">
        <v>53</v>
      </c>
      <c r="P11" s="12">
        <v>62</v>
      </c>
      <c r="Q11" s="12">
        <v>51</v>
      </c>
      <c r="R11" s="23"/>
    </row>
    <row r="12" spans="1:18" s="13" customFormat="1" ht="29.25" customHeight="1">
      <c r="A12" s="153"/>
      <c r="B12" s="139"/>
      <c r="C12" s="7" t="s">
        <v>189</v>
      </c>
      <c r="D12" s="7"/>
      <c r="E12" s="11">
        <v>0.5347</v>
      </c>
      <c r="F12" s="11">
        <v>0.5347</v>
      </c>
      <c r="G12" s="11">
        <v>0.5347</v>
      </c>
      <c r="H12" s="11">
        <v>0.5347</v>
      </c>
      <c r="I12" s="11">
        <v>0.5347</v>
      </c>
      <c r="J12" s="11">
        <v>0.5373</v>
      </c>
      <c r="K12" s="11">
        <v>0.512</v>
      </c>
      <c r="L12" s="12">
        <v>38.7</v>
      </c>
      <c r="M12" s="12">
        <v>59</v>
      </c>
      <c r="N12" s="12">
        <v>38.7</v>
      </c>
      <c r="O12" s="12">
        <v>54.4</v>
      </c>
      <c r="P12" s="12">
        <v>62.7</v>
      </c>
      <c r="Q12" s="12">
        <v>53.2</v>
      </c>
      <c r="R12" s="23"/>
    </row>
    <row r="13" spans="1:18" s="13" customFormat="1" ht="29.25" customHeight="1">
      <c r="A13" s="153"/>
      <c r="B13" s="139"/>
      <c r="C13" s="7" t="s">
        <v>190</v>
      </c>
      <c r="D13" s="7"/>
      <c r="E13" s="11">
        <v>0.5996</v>
      </c>
      <c r="F13" s="11">
        <v>0.5996</v>
      </c>
      <c r="G13" s="11">
        <v>0.5996</v>
      </c>
      <c r="H13" s="11">
        <v>0.5996</v>
      </c>
      <c r="I13" s="11">
        <v>0.5996</v>
      </c>
      <c r="J13" s="11">
        <v>0.5022</v>
      </c>
      <c r="K13" s="11">
        <v>0.576</v>
      </c>
      <c r="L13" s="12">
        <v>42</v>
      </c>
      <c r="M13" s="12">
        <v>60</v>
      </c>
      <c r="N13" s="12">
        <v>42</v>
      </c>
      <c r="O13" s="12">
        <v>59.5</v>
      </c>
      <c r="P13" s="12">
        <v>65</v>
      </c>
      <c r="Q13" s="12">
        <v>61</v>
      </c>
      <c r="R13" s="23"/>
    </row>
    <row r="14" spans="1:18" s="13" customFormat="1" ht="29.25" customHeight="1">
      <c r="A14" s="153"/>
      <c r="B14" s="139"/>
      <c r="C14" s="7" t="s">
        <v>191</v>
      </c>
      <c r="D14" s="7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  <c r="P14" s="12"/>
      <c r="Q14" s="12"/>
      <c r="R14" s="23"/>
    </row>
    <row r="15" spans="1:18" s="13" customFormat="1" ht="29.25" customHeight="1">
      <c r="A15" s="7">
        <v>3</v>
      </c>
      <c r="B15" s="140" t="s">
        <v>37</v>
      </c>
      <c r="C15" s="141"/>
      <c r="D15" s="7" t="s">
        <v>38</v>
      </c>
      <c r="E15" s="11">
        <v>0.9035</v>
      </c>
      <c r="F15" s="11">
        <v>0.9035</v>
      </c>
      <c r="G15" s="11">
        <v>0.9035</v>
      </c>
      <c r="H15" s="11">
        <v>0.9035</v>
      </c>
      <c r="I15" s="11">
        <v>0.9035</v>
      </c>
      <c r="J15" s="11">
        <v>0.6893</v>
      </c>
      <c r="K15" s="11">
        <v>0.8</v>
      </c>
      <c r="L15" s="12">
        <v>38.8</v>
      </c>
      <c r="M15" s="12">
        <v>53.8</v>
      </c>
      <c r="N15" s="12">
        <v>34.9</v>
      </c>
      <c r="O15" s="12">
        <v>48.5</v>
      </c>
      <c r="P15" s="12">
        <v>67.9</v>
      </c>
      <c r="Q15" s="12">
        <v>51.3</v>
      </c>
      <c r="R15" s="23" t="s">
        <v>257</v>
      </c>
    </row>
    <row r="16" spans="1:18" s="13" customFormat="1" ht="29.25" customHeight="1">
      <c r="A16" s="7">
        <v>4</v>
      </c>
      <c r="B16" s="140" t="s">
        <v>100</v>
      </c>
      <c r="C16" s="141"/>
      <c r="D16" s="7"/>
      <c r="E16" s="11">
        <v>0.5642</v>
      </c>
      <c r="F16" s="11">
        <v>0.5642</v>
      </c>
      <c r="G16" s="11">
        <v>0.5642</v>
      </c>
      <c r="H16" s="11">
        <v>0.5642</v>
      </c>
      <c r="I16" s="11">
        <v>0.5642</v>
      </c>
      <c r="J16" s="11">
        <v>0.4564</v>
      </c>
      <c r="K16" s="11">
        <v>0.5389</v>
      </c>
      <c r="L16" s="12">
        <v>54.5</v>
      </c>
      <c r="M16" s="12">
        <v>75</v>
      </c>
      <c r="N16" s="12">
        <v>54.5</v>
      </c>
      <c r="O16" s="12">
        <v>72.5</v>
      </c>
      <c r="P16" s="12">
        <v>98.75</v>
      </c>
      <c r="Q16" s="12">
        <v>71.25</v>
      </c>
      <c r="R16" s="23"/>
    </row>
    <row r="17" spans="1:18" s="13" customFormat="1" ht="29.25" customHeight="1">
      <c r="A17" s="7">
        <v>5</v>
      </c>
      <c r="B17" s="140" t="s">
        <v>43</v>
      </c>
      <c r="C17" s="141"/>
      <c r="D17" s="7" t="s">
        <v>44</v>
      </c>
      <c r="E17" s="11">
        <v>0.5349</v>
      </c>
      <c r="F17" s="11">
        <v>0.5349</v>
      </c>
      <c r="G17" s="11">
        <v>0.5349</v>
      </c>
      <c r="H17" s="11">
        <v>0.5349</v>
      </c>
      <c r="I17" s="11">
        <v>0.5349</v>
      </c>
      <c r="J17" s="11">
        <v>0.5525</v>
      </c>
      <c r="K17" s="11">
        <v>0.518</v>
      </c>
      <c r="L17" s="12">
        <v>30.49</v>
      </c>
      <c r="M17" s="12">
        <v>45.19</v>
      </c>
      <c r="N17" s="12">
        <v>33.81</v>
      </c>
      <c r="O17" s="12">
        <v>53.79</v>
      </c>
      <c r="P17" s="12">
        <v>62.37</v>
      </c>
      <c r="Q17" s="12">
        <v>44.2</v>
      </c>
      <c r="R17" s="23"/>
    </row>
    <row r="18" spans="1:18" s="13" customFormat="1" ht="29.25" customHeight="1">
      <c r="A18" s="154">
        <v>6</v>
      </c>
      <c r="B18" s="154" t="s">
        <v>47</v>
      </c>
      <c r="C18" s="7" t="s">
        <v>148</v>
      </c>
      <c r="D18" s="7" t="s">
        <v>48</v>
      </c>
      <c r="E18" s="11">
        <v>0.3448</v>
      </c>
      <c r="F18" s="11">
        <v>0.3448</v>
      </c>
      <c r="G18" s="11">
        <v>0.3448</v>
      </c>
      <c r="H18" s="11">
        <v>0.3448</v>
      </c>
      <c r="I18" s="11">
        <v>0.3448</v>
      </c>
      <c r="J18" s="11">
        <v>0.3146</v>
      </c>
      <c r="K18" s="11">
        <v>0.3453</v>
      </c>
      <c r="L18" s="12">
        <v>39</v>
      </c>
      <c r="M18" s="12">
        <v>50</v>
      </c>
      <c r="N18" s="12">
        <v>39</v>
      </c>
      <c r="O18" s="12">
        <v>51</v>
      </c>
      <c r="P18" s="12">
        <v>58</v>
      </c>
      <c r="Q18" s="12">
        <v>50</v>
      </c>
      <c r="R18" s="23"/>
    </row>
    <row r="19" spans="1:18" s="13" customFormat="1" ht="29.25" customHeight="1">
      <c r="A19" s="163"/>
      <c r="B19" s="163"/>
      <c r="C19" s="7" t="s">
        <v>149</v>
      </c>
      <c r="D19" s="7"/>
      <c r="E19" s="11">
        <v>0.3368</v>
      </c>
      <c r="F19" s="11">
        <v>0.3368</v>
      </c>
      <c r="G19" s="11">
        <v>0.3368</v>
      </c>
      <c r="H19" s="11">
        <v>0.3368</v>
      </c>
      <c r="I19" s="11">
        <v>0.3368</v>
      </c>
      <c r="J19" s="11">
        <v>0.3015</v>
      </c>
      <c r="K19" s="11">
        <v>0.3465</v>
      </c>
      <c r="L19" s="12">
        <v>39</v>
      </c>
      <c r="M19" s="12">
        <v>50</v>
      </c>
      <c r="N19" s="12">
        <v>39</v>
      </c>
      <c r="O19" s="12">
        <v>51</v>
      </c>
      <c r="P19" s="12">
        <v>58</v>
      </c>
      <c r="Q19" s="12">
        <v>50</v>
      </c>
      <c r="R19" s="23"/>
    </row>
    <row r="20" spans="1:18" s="13" customFormat="1" ht="29.25" customHeight="1">
      <c r="A20" s="163"/>
      <c r="B20" s="163"/>
      <c r="C20" s="7" t="s">
        <v>150</v>
      </c>
      <c r="D20" s="7"/>
      <c r="E20" s="11">
        <v>0.3303</v>
      </c>
      <c r="F20" s="11">
        <v>0.3303</v>
      </c>
      <c r="G20" s="11">
        <v>0.3303</v>
      </c>
      <c r="H20" s="11">
        <v>0.3303</v>
      </c>
      <c r="I20" s="11">
        <v>0.3303</v>
      </c>
      <c r="J20" s="11">
        <v>0.2937</v>
      </c>
      <c r="K20" s="11">
        <v>0.3359</v>
      </c>
      <c r="L20" s="12">
        <v>38.5</v>
      </c>
      <c r="M20" s="12">
        <v>49.5</v>
      </c>
      <c r="N20" s="12">
        <v>38.5</v>
      </c>
      <c r="O20" s="12">
        <v>50.5</v>
      </c>
      <c r="P20" s="12">
        <v>57.5</v>
      </c>
      <c r="Q20" s="12">
        <v>49.5</v>
      </c>
      <c r="R20" s="23"/>
    </row>
    <row r="21" spans="1:18" s="13" customFormat="1" ht="29.25" customHeight="1">
      <c r="A21" s="155"/>
      <c r="B21" s="155"/>
      <c r="C21" s="7" t="s">
        <v>151</v>
      </c>
      <c r="D21" s="7"/>
      <c r="E21" s="11">
        <v>0.3235</v>
      </c>
      <c r="F21" s="11">
        <v>0.3235</v>
      </c>
      <c r="G21" s="11">
        <v>0.3235</v>
      </c>
      <c r="H21" s="11">
        <v>0.3235</v>
      </c>
      <c r="I21" s="11">
        <v>0.3235</v>
      </c>
      <c r="J21" s="11">
        <v>0.2893</v>
      </c>
      <c r="K21" s="11">
        <v>0.3329</v>
      </c>
      <c r="L21" s="12">
        <v>38</v>
      </c>
      <c r="M21" s="12">
        <v>49</v>
      </c>
      <c r="N21" s="12">
        <v>38</v>
      </c>
      <c r="O21" s="12">
        <v>50</v>
      </c>
      <c r="P21" s="12">
        <v>57</v>
      </c>
      <c r="Q21" s="12">
        <v>49</v>
      </c>
      <c r="R21" s="23"/>
    </row>
    <row r="22" spans="1:18" s="13" customFormat="1" ht="29.25" customHeight="1">
      <c r="A22" s="7">
        <v>7</v>
      </c>
      <c r="B22" s="140" t="s">
        <v>56</v>
      </c>
      <c r="C22" s="141"/>
      <c r="D22" s="7" t="s">
        <v>57</v>
      </c>
      <c r="E22" s="11">
        <v>0.6252</v>
      </c>
      <c r="F22" s="11">
        <v>0.6252</v>
      </c>
      <c r="G22" s="11">
        <v>0.6252</v>
      </c>
      <c r="H22" s="11">
        <v>0.6252</v>
      </c>
      <c r="I22" s="11">
        <v>0.6252</v>
      </c>
      <c r="J22" s="11">
        <v>0.413</v>
      </c>
      <c r="K22" s="11">
        <v>0.5356</v>
      </c>
      <c r="L22" s="12">
        <v>30.96</v>
      </c>
      <c r="M22" s="12">
        <v>47.85</v>
      </c>
      <c r="N22" s="12">
        <v>30.96</v>
      </c>
      <c r="O22" s="12">
        <v>49.84</v>
      </c>
      <c r="P22" s="12">
        <v>55.79</v>
      </c>
      <c r="Q22" s="12">
        <v>44.64</v>
      </c>
      <c r="R22" s="23"/>
    </row>
    <row r="23" spans="1:18" s="13" customFormat="1" ht="29.25" customHeight="1">
      <c r="A23" s="153">
        <v>8</v>
      </c>
      <c r="B23" s="139" t="s">
        <v>122</v>
      </c>
      <c r="C23" s="7" t="s">
        <v>93</v>
      </c>
      <c r="D23" s="7" t="s">
        <v>60</v>
      </c>
      <c r="E23" s="11"/>
      <c r="F23" s="11">
        <v>0.9804</v>
      </c>
      <c r="G23" s="11">
        <v>0.9804</v>
      </c>
      <c r="H23" s="11"/>
      <c r="I23" s="11"/>
      <c r="J23" s="11"/>
      <c r="K23" s="11"/>
      <c r="L23" s="12">
        <v>44.5</v>
      </c>
      <c r="M23" s="12">
        <v>54.25</v>
      </c>
      <c r="N23" s="12"/>
      <c r="O23" s="12"/>
      <c r="P23" s="12"/>
      <c r="Q23" s="12"/>
      <c r="R23" s="142" t="s">
        <v>258</v>
      </c>
    </row>
    <row r="24" spans="1:18" s="13" customFormat="1" ht="29.25" customHeight="1">
      <c r="A24" s="153"/>
      <c r="B24" s="139"/>
      <c r="C24" s="7" t="s">
        <v>94</v>
      </c>
      <c r="D24" s="7"/>
      <c r="E24" s="11"/>
      <c r="F24" s="11">
        <v>0.9373</v>
      </c>
      <c r="G24" s="11">
        <v>0.9373</v>
      </c>
      <c r="H24" s="11"/>
      <c r="I24" s="11"/>
      <c r="J24" s="11"/>
      <c r="K24" s="11"/>
      <c r="L24" s="12">
        <v>43.5</v>
      </c>
      <c r="M24" s="12">
        <v>53.25</v>
      </c>
      <c r="N24" s="12"/>
      <c r="O24" s="12"/>
      <c r="P24" s="12"/>
      <c r="Q24" s="12"/>
      <c r="R24" s="142"/>
    </row>
    <row r="25" spans="1:18" s="13" customFormat="1" ht="29.25" customHeight="1">
      <c r="A25" s="153"/>
      <c r="B25" s="139"/>
      <c r="C25" s="7" t="s">
        <v>95</v>
      </c>
      <c r="D25" s="7"/>
      <c r="E25" s="11"/>
      <c r="F25" s="11">
        <v>0.8511</v>
      </c>
      <c r="G25" s="11">
        <v>0.8511</v>
      </c>
      <c r="H25" s="11"/>
      <c r="I25" s="11"/>
      <c r="J25" s="11"/>
      <c r="K25" s="11"/>
      <c r="L25" s="12">
        <v>41.5</v>
      </c>
      <c r="M25" s="12">
        <v>51.25</v>
      </c>
      <c r="N25" s="12"/>
      <c r="O25" s="12"/>
      <c r="P25" s="12"/>
      <c r="Q25" s="12"/>
      <c r="R25" s="142"/>
    </row>
    <row r="26" spans="1:18" s="13" customFormat="1" ht="29.25" customHeight="1">
      <c r="A26" s="153"/>
      <c r="B26" s="139"/>
      <c r="C26" s="7" t="s">
        <v>96</v>
      </c>
      <c r="D26" s="7"/>
      <c r="E26" s="11"/>
      <c r="F26" s="11">
        <v>0.9373</v>
      </c>
      <c r="G26" s="11">
        <v>0.9373</v>
      </c>
      <c r="H26" s="11"/>
      <c r="I26" s="11"/>
      <c r="J26" s="11"/>
      <c r="K26" s="11"/>
      <c r="L26" s="12">
        <v>43.5</v>
      </c>
      <c r="M26" s="12">
        <v>53.25</v>
      </c>
      <c r="N26" s="12"/>
      <c r="O26" s="12"/>
      <c r="P26" s="12"/>
      <c r="Q26" s="12"/>
      <c r="R26" s="142"/>
    </row>
    <row r="27" spans="1:18" s="13" customFormat="1" ht="29.25" customHeight="1">
      <c r="A27" s="153"/>
      <c r="B27" s="139"/>
      <c r="C27" s="7" t="s">
        <v>97</v>
      </c>
      <c r="D27" s="7"/>
      <c r="E27" s="11"/>
      <c r="F27" s="11">
        <v>0.8942</v>
      </c>
      <c r="G27" s="11">
        <v>0.8942</v>
      </c>
      <c r="H27" s="11"/>
      <c r="I27" s="11"/>
      <c r="J27" s="11"/>
      <c r="K27" s="11"/>
      <c r="L27" s="12">
        <v>42.5</v>
      </c>
      <c r="M27" s="12">
        <v>52.25</v>
      </c>
      <c r="N27" s="12"/>
      <c r="O27" s="12"/>
      <c r="P27" s="12"/>
      <c r="Q27" s="12"/>
      <c r="R27" s="142"/>
    </row>
    <row r="28" spans="1:18" s="13" customFormat="1" ht="29.25" customHeight="1">
      <c r="A28" s="153"/>
      <c r="B28" s="139"/>
      <c r="C28" s="7" t="s">
        <v>98</v>
      </c>
      <c r="D28" s="7"/>
      <c r="E28" s="11"/>
      <c r="F28" s="11">
        <v>0.8942</v>
      </c>
      <c r="G28" s="11">
        <v>0.8942</v>
      </c>
      <c r="H28" s="11"/>
      <c r="I28" s="11"/>
      <c r="J28" s="11"/>
      <c r="K28" s="11"/>
      <c r="L28" s="12">
        <v>42.5</v>
      </c>
      <c r="M28" s="12">
        <v>52.25</v>
      </c>
      <c r="N28" s="12"/>
      <c r="O28" s="12"/>
      <c r="P28" s="12"/>
      <c r="Q28" s="12"/>
      <c r="R28" s="142"/>
    </row>
    <row r="29" spans="1:18" s="13" customFormat="1" ht="29.25" customHeight="1">
      <c r="A29" s="153">
        <v>9</v>
      </c>
      <c r="B29" s="139" t="s">
        <v>65</v>
      </c>
      <c r="C29" s="7" t="s">
        <v>124</v>
      </c>
      <c r="D29" s="7" t="s">
        <v>66</v>
      </c>
      <c r="E29" s="11">
        <v>0.3513</v>
      </c>
      <c r="F29" s="11">
        <v>0.3513</v>
      </c>
      <c r="G29" s="11">
        <v>0.3513</v>
      </c>
      <c r="H29" s="11">
        <v>0.3513</v>
      </c>
      <c r="I29" s="11">
        <v>0.3513</v>
      </c>
      <c r="J29" s="11">
        <v>0.1817</v>
      </c>
      <c r="K29" s="11">
        <v>0.392</v>
      </c>
      <c r="L29" s="15">
        <v>29.35</v>
      </c>
      <c r="M29" s="15">
        <v>39.85</v>
      </c>
      <c r="N29" s="15">
        <v>29.35</v>
      </c>
      <c r="O29" s="15">
        <v>41.1</v>
      </c>
      <c r="P29" s="15">
        <v>50.75</v>
      </c>
      <c r="Q29" s="15">
        <v>41.05</v>
      </c>
      <c r="R29" s="23"/>
    </row>
    <row r="30" spans="1:18" s="13" customFormat="1" ht="29.25" customHeight="1">
      <c r="A30" s="153"/>
      <c r="B30" s="139"/>
      <c r="C30" s="7" t="s">
        <v>125</v>
      </c>
      <c r="D30" s="7"/>
      <c r="E30" s="11">
        <v>0.26</v>
      </c>
      <c r="F30" s="11">
        <v>0.26</v>
      </c>
      <c r="G30" s="11">
        <v>0.26</v>
      </c>
      <c r="H30" s="11">
        <v>0.26</v>
      </c>
      <c r="I30" s="11">
        <v>0.26</v>
      </c>
      <c r="J30" s="11">
        <v>0.1356</v>
      </c>
      <c r="K30" s="11">
        <v>0.3152</v>
      </c>
      <c r="L30" s="15">
        <v>25.5</v>
      </c>
      <c r="M30" s="15">
        <v>38.75</v>
      </c>
      <c r="N30" s="15">
        <v>25.5</v>
      </c>
      <c r="O30" s="15">
        <v>41.42</v>
      </c>
      <c r="P30" s="15">
        <v>48.65</v>
      </c>
      <c r="Q30" s="15">
        <v>39.13</v>
      </c>
      <c r="R30" s="23"/>
    </row>
    <row r="31" spans="1:18" s="13" customFormat="1" ht="29.25" customHeight="1">
      <c r="A31" s="153"/>
      <c r="B31" s="139"/>
      <c r="C31" s="7" t="s">
        <v>126</v>
      </c>
      <c r="D31" s="7"/>
      <c r="E31" s="11">
        <v>0.2765</v>
      </c>
      <c r="F31" s="11">
        <v>0.2765</v>
      </c>
      <c r="G31" s="11">
        <v>0.2765</v>
      </c>
      <c r="H31" s="11">
        <v>0.2765</v>
      </c>
      <c r="I31" s="11">
        <v>0.2765</v>
      </c>
      <c r="J31" s="11">
        <v>0.1432</v>
      </c>
      <c r="K31" s="11">
        <v>0.308</v>
      </c>
      <c r="L31" s="15">
        <v>25.5</v>
      </c>
      <c r="M31" s="15">
        <v>38.85</v>
      </c>
      <c r="N31" s="15">
        <v>25.5</v>
      </c>
      <c r="O31" s="15">
        <v>41.67</v>
      </c>
      <c r="P31" s="15">
        <v>48.95</v>
      </c>
      <c r="Q31" s="15">
        <v>38.95</v>
      </c>
      <c r="R31" s="23"/>
    </row>
    <row r="32" spans="1:18" s="13" customFormat="1" ht="29.25" customHeight="1">
      <c r="A32" s="153"/>
      <c r="B32" s="139"/>
      <c r="C32" s="7" t="s">
        <v>127</v>
      </c>
      <c r="D32" s="7"/>
      <c r="E32" s="11">
        <v>0.4384</v>
      </c>
      <c r="F32" s="11">
        <v>0.4384</v>
      </c>
      <c r="G32" s="11">
        <v>0.4384</v>
      </c>
      <c r="H32" s="11">
        <v>0.4384</v>
      </c>
      <c r="I32" s="11">
        <v>0.4384</v>
      </c>
      <c r="J32" s="11">
        <v>0.1387</v>
      </c>
      <c r="K32" s="11">
        <v>0.44</v>
      </c>
      <c r="L32" s="15">
        <v>29.7</v>
      </c>
      <c r="M32" s="15">
        <v>42.45</v>
      </c>
      <c r="N32" s="15">
        <v>29.7</v>
      </c>
      <c r="O32" s="15">
        <v>40.38</v>
      </c>
      <c r="P32" s="15">
        <v>49.85</v>
      </c>
      <c r="Q32" s="15">
        <v>42.25</v>
      </c>
      <c r="R32" s="23"/>
    </row>
    <row r="33" spans="1:18" s="13" customFormat="1" ht="29.25" customHeight="1">
      <c r="A33" s="153"/>
      <c r="B33" s="139"/>
      <c r="C33" s="7" t="s">
        <v>128</v>
      </c>
      <c r="D33" s="7"/>
      <c r="E33" s="11">
        <v>0.4583</v>
      </c>
      <c r="F33" s="11">
        <v>0.4583</v>
      </c>
      <c r="G33" s="11">
        <v>0.4583</v>
      </c>
      <c r="H33" s="11">
        <v>0.4583</v>
      </c>
      <c r="I33" s="11">
        <v>0.4583</v>
      </c>
      <c r="J33" s="11">
        <v>0.1337</v>
      </c>
      <c r="K33" s="11">
        <v>0.452</v>
      </c>
      <c r="L33" s="15">
        <v>30.05</v>
      </c>
      <c r="M33" s="15">
        <v>42.95</v>
      </c>
      <c r="N33" s="15">
        <v>30.05</v>
      </c>
      <c r="O33" s="15">
        <v>40.14</v>
      </c>
      <c r="P33" s="15">
        <v>49.55</v>
      </c>
      <c r="Q33" s="15">
        <v>42.55</v>
      </c>
      <c r="R33" s="23"/>
    </row>
    <row r="34" spans="1:18" s="13" customFormat="1" ht="29.25" customHeight="1">
      <c r="A34" s="153">
        <v>10</v>
      </c>
      <c r="B34" s="139" t="s">
        <v>123</v>
      </c>
      <c r="C34" s="7" t="s">
        <v>101</v>
      </c>
      <c r="D34" s="7" t="s">
        <v>69</v>
      </c>
      <c r="E34" s="11">
        <v>0.2523</v>
      </c>
      <c r="F34" s="11">
        <v>0.2523</v>
      </c>
      <c r="G34" s="11">
        <v>0.2523</v>
      </c>
      <c r="H34" s="11">
        <v>0.2523</v>
      </c>
      <c r="I34" s="11">
        <v>0.2523</v>
      </c>
      <c r="J34" s="11">
        <v>0.1423</v>
      </c>
      <c r="K34" s="11">
        <v>0.1724</v>
      </c>
      <c r="L34" s="12">
        <v>30.05</v>
      </c>
      <c r="M34" s="12">
        <v>37.72</v>
      </c>
      <c r="N34" s="7">
        <v>30.05</v>
      </c>
      <c r="O34" s="7">
        <v>41.75</v>
      </c>
      <c r="P34" s="12">
        <v>49.89</v>
      </c>
      <c r="Q34" s="12">
        <v>36.47</v>
      </c>
      <c r="R34" s="24" t="s">
        <v>106</v>
      </c>
    </row>
    <row r="35" spans="1:18" s="13" customFormat="1" ht="29.25" customHeight="1">
      <c r="A35" s="153"/>
      <c r="B35" s="139"/>
      <c r="C35" s="7" t="s">
        <v>102</v>
      </c>
      <c r="D35" s="7"/>
      <c r="E35" s="11">
        <v>0.2147</v>
      </c>
      <c r="F35" s="11">
        <v>0.2147</v>
      </c>
      <c r="G35" s="11">
        <v>0.2147</v>
      </c>
      <c r="H35" s="11">
        <v>0.2147</v>
      </c>
      <c r="I35" s="11">
        <v>0.2147</v>
      </c>
      <c r="J35" s="11">
        <v>0.1157</v>
      </c>
      <c r="K35" s="11">
        <v>0.184</v>
      </c>
      <c r="L35" s="12">
        <v>29</v>
      </c>
      <c r="M35" s="12">
        <v>36.25</v>
      </c>
      <c r="N35" s="12">
        <v>29</v>
      </c>
      <c r="O35" s="12">
        <v>40.5</v>
      </c>
      <c r="P35" s="12">
        <v>46.25</v>
      </c>
      <c r="Q35" s="12">
        <v>35.85</v>
      </c>
      <c r="R35" s="24" t="s">
        <v>107</v>
      </c>
    </row>
    <row r="36" spans="1:18" s="13" customFormat="1" ht="29.25" customHeight="1">
      <c r="A36" s="153"/>
      <c r="B36" s="139"/>
      <c r="C36" s="7" t="s">
        <v>103</v>
      </c>
      <c r="D36" s="7"/>
      <c r="E36" s="11">
        <v>0.2019</v>
      </c>
      <c r="F36" s="11">
        <v>0.2019</v>
      </c>
      <c r="G36" s="11">
        <v>0.2019</v>
      </c>
      <c r="H36" s="11">
        <v>0.2019</v>
      </c>
      <c r="I36" s="11">
        <v>0.2019</v>
      </c>
      <c r="J36" s="11">
        <v>0.111</v>
      </c>
      <c r="K36" s="11">
        <v>0.16</v>
      </c>
      <c r="L36" s="12">
        <v>29</v>
      </c>
      <c r="M36" s="12">
        <v>35.75</v>
      </c>
      <c r="N36" s="12">
        <v>29</v>
      </c>
      <c r="O36" s="12">
        <v>40.35</v>
      </c>
      <c r="P36" s="12">
        <v>45.75</v>
      </c>
      <c r="Q36" s="12">
        <v>35.25</v>
      </c>
      <c r="R36" s="24" t="s">
        <v>108</v>
      </c>
    </row>
    <row r="37" spans="1:18" s="18" customFormat="1" ht="29.25" customHeight="1">
      <c r="A37" s="153"/>
      <c r="B37" s="139"/>
      <c r="C37" s="7" t="s">
        <v>104</v>
      </c>
      <c r="D37" s="17"/>
      <c r="E37" s="11">
        <v>0.2243</v>
      </c>
      <c r="F37" s="11">
        <v>0.2243</v>
      </c>
      <c r="G37" s="11">
        <v>0.2243</v>
      </c>
      <c r="H37" s="11">
        <v>0.2243</v>
      </c>
      <c r="I37" s="11">
        <v>0.2243</v>
      </c>
      <c r="J37" s="11">
        <v>0.1069</v>
      </c>
      <c r="K37" s="11">
        <v>0.188</v>
      </c>
      <c r="L37" s="12">
        <v>29</v>
      </c>
      <c r="M37" s="12">
        <v>36.75</v>
      </c>
      <c r="N37" s="12">
        <v>29</v>
      </c>
      <c r="O37" s="12">
        <v>40</v>
      </c>
      <c r="P37" s="12">
        <v>46.75</v>
      </c>
      <c r="Q37" s="12">
        <v>35.95</v>
      </c>
      <c r="R37" s="24" t="s">
        <v>109</v>
      </c>
    </row>
    <row r="38" spans="1:18" s="13" customFormat="1" ht="29.25" customHeight="1">
      <c r="A38" s="153"/>
      <c r="B38" s="139"/>
      <c r="C38" s="7" t="s">
        <v>105</v>
      </c>
      <c r="D38" s="7"/>
      <c r="E38" s="11">
        <v>0.1652</v>
      </c>
      <c r="F38" s="11">
        <v>0.1652</v>
      </c>
      <c r="G38" s="11">
        <v>0.1652</v>
      </c>
      <c r="H38" s="11">
        <v>0.1652</v>
      </c>
      <c r="I38" s="11">
        <v>0.1652</v>
      </c>
      <c r="J38" s="11">
        <v>0.0748</v>
      </c>
      <c r="K38" s="11">
        <v>0.1</v>
      </c>
      <c r="L38" s="12">
        <v>26</v>
      </c>
      <c r="M38" s="12">
        <v>35</v>
      </c>
      <c r="N38" s="12">
        <v>26</v>
      </c>
      <c r="O38" s="12">
        <v>39.3</v>
      </c>
      <c r="P38" s="12">
        <v>45.25</v>
      </c>
      <c r="Q38" s="12">
        <v>33.75</v>
      </c>
      <c r="R38" s="24" t="s">
        <v>110</v>
      </c>
    </row>
    <row r="39" spans="1:18" s="13" customFormat="1" ht="29.25" customHeight="1">
      <c r="A39" s="7">
        <v>11</v>
      </c>
      <c r="B39" s="140" t="s">
        <v>80</v>
      </c>
      <c r="C39" s="141"/>
      <c r="D39" s="7" t="s">
        <v>81</v>
      </c>
      <c r="E39" s="11">
        <v>0.5193</v>
      </c>
      <c r="F39" s="11">
        <v>0.5193</v>
      </c>
      <c r="G39" s="11">
        <v>0.5193</v>
      </c>
      <c r="H39" s="11">
        <v>0.5193</v>
      </c>
      <c r="I39" s="11">
        <v>0.5193</v>
      </c>
      <c r="J39" s="11">
        <v>0.4357</v>
      </c>
      <c r="K39" s="11">
        <v>0.508</v>
      </c>
      <c r="L39" s="12">
        <v>31.8</v>
      </c>
      <c r="M39" s="12">
        <v>44.3</v>
      </c>
      <c r="N39" s="12">
        <v>31.8</v>
      </c>
      <c r="O39" s="12">
        <v>50.1</v>
      </c>
      <c r="P39" s="12">
        <v>60.3</v>
      </c>
      <c r="Q39" s="12">
        <v>44</v>
      </c>
      <c r="R39" s="23"/>
    </row>
    <row r="40" spans="1:18" s="13" customFormat="1" ht="84" customHeight="1">
      <c r="A40" s="147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21"/>
    </row>
  </sheetData>
  <sheetProtection/>
  <mergeCells count="26">
    <mergeCell ref="B39:C39"/>
    <mergeCell ref="A34:A38"/>
    <mergeCell ref="A4:A6"/>
    <mergeCell ref="R2:R3"/>
    <mergeCell ref="R23:R28"/>
    <mergeCell ref="B22:C22"/>
    <mergeCell ref="B17:C17"/>
    <mergeCell ref="A1:R1"/>
    <mergeCell ref="A7:A14"/>
    <mergeCell ref="A23:A28"/>
    <mergeCell ref="A29:A33"/>
    <mergeCell ref="B2:C3"/>
    <mergeCell ref="B18:B21"/>
    <mergeCell ref="A18:A21"/>
    <mergeCell ref="B15:C15"/>
    <mergeCell ref="B16:C16"/>
    <mergeCell ref="A40:Q40"/>
    <mergeCell ref="A2:A3"/>
    <mergeCell ref="D2:D3"/>
    <mergeCell ref="E2:K2"/>
    <mergeCell ref="L2:Q2"/>
    <mergeCell ref="B4:B6"/>
    <mergeCell ref="B23:B28"/>
    <mergeCell ref="B7:B14"/>
    <mergeCell ref="B34:B38"/>
    <mergeCell ref="B29:B33"/>
  </mergeCells>
  <printOptions/>
  <pageMargins left="0.31" right="0.49" top="0.36" bottom="0.24" header="0.19" footer="0.1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40"/>
  <sheetViews>
    <sheetView zoomScale="90" zoomScaleNormal="90" zoomScalePageLayoutView="0" workbookViewId="0" topLeftCell="A1">
      <pane xSplit="4" ySplit="3" topLeftCell="E2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7" sqref="B17:C17"/>
    </sheetView>
  </sheetViews>
  <sheetFormatPr defaultColWidth="9.140625" defaultRowHeight="12"/>
  <cols>
    <col min="1" max="1" width="4.57421875" style="1" customWidth="1"/>
    <col min="2" max="2" width="4.28125" style="1" customWidth="1"/>
    <col min="3" max="3" width="14.8515625" style="1" customWidth="1"/>
    <col min="4" max="4" width="20.57421875" style="1" hidden="1" customWidth="1"/>
    <col min="5" max="18" width="7.7109375" style="2" customWidth="1"/>
    <col min="19" max="24" width="9.28125" style="3" hidden="1" customWidth="1"/>
    <col min="25" max="25" width="18.57421875" style="22" customWidth="1"/>
    <col min="26" max="16384" width="9.140625" style="1" customWidth="1"/>
  </cols>
  <sheetData>
    <row r="1" spans="1:25" s="4" customFormat="1" ht="46.5" customHeight="1">
      <c r="A1" s="158" t="s">
        <v>302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25" s="10" customFormat="1" ht="18.75" customHeight="1">
      <c r="A2" s="153" t="s">
        <v>129</v>
      </c>
      <c r="B2" s="153" t="s">
        <v>130</v>
      </c>
      <c r="C2" s="153"/>
      <c r="D2" s="153" t="s">
        <v>22</v>
      </c>
      <c r="E2" s="150" t="s">
        <v>303</v>
      </c>
      <c r="F2" s="151"/>
      <c r="G2" s="151"/>
      <c r="H2" s="151"/>
      <c r="I2" s="151"/>
      <c r="J2" s="151"/>
      <c r="K2" s="152"/>
      <c r="L2" s="138" t="s">
        <v>304</v>
      </c>
      <c r="M2" s="138"/>
      <c r="N2" s="138"/>
      <c r="O2" s="138"/>
      <c r="P2" s="138"/>
      <c r="Q2" s="138"/>
      <c r="R2" s="138"/>
      <c r="S2" s="138" t="s">
        <v>137</v>
      </c>
      <c r="T2" s="138"/>
      <c r="U2" s="138"/>
      <c r="V2" s="138"/>
      <c r="W2" s="138"/>
      <c r="X2" s="138"/>
      <c r="Y2" s="153" t="s">
        <v>99</v>
      </c>
    </row>
    <row r="3" spans="1:25" s="13" customFormat="1" ht="66.75" customHeight="1">
      <c r="A3" s="153"/>
      <c r="B3" s="153"/>
      <c r="C3" s="153"/>
      <c r="D3" s="153"/>
      <c r="E3" s="11" t="s">
        <v>6</v>
      </c>
      <c r="F3" s="11" t="s">
        <v>133</v>
      </c>
      <c r="G3" s="11" t="s">
        <v>296</v>
      </c>
      <c r="H3" s="11" t="s">
        <v>135</v>
      </c>
      <c r="I3" s="11" t="s">
        <v>91</v>
      </c>
      <c r="J3" s="11" t="s">
        <v>23</v>
      </c>
      <c r="K3" s="11" t="s">
        <v>9</v>
      </c>
      <c r="L3" s="11" t="s">
        <v>6</v>
      </c>
      <c r="M3" s="11" t="s">
        <v>133</v>
      </c>
      <c r="N3" s="11" t="s">
        <v>296</v>
      </c>
      <c r="O3" s="11" t="s">
        <v>135</v>
      </c>
      <c r="P3" s="11" t="s">
        <v>91</v>
      </c>
      <c r="Q3" s="11" t="s">
        <v>23</v>
      </c>
      <c r="R3" s="11" t="s">
        <v>9</v>
      </c>
      <c r="S3" s="12" t="s">
        <v>298</v>
      </c>
      <c r="T3" s="12" t="s">
        <v>299</v>
      </c>
      <c r="U3" s="12" t="s">
        <v>297</v>
      </c>
      <c r="V3" s="12" t="s">
        <v>143</v>
      </c>
      <c r="W3" s="12" t="s">
        <v>139</v>
      </c>
      <c r="X3" s="12" t="s">
        <v>140</v>
      </c>
      <c r="Y3" s="153"/>
    </row>
    <row r="4" spans="1:25" s="13" customFormat="1" ht="55.5" customHeight="1">
      <c r="A4" s="153">
        <v>1</v>
      </c>
      <c r="B4" s="139" t="s">
        <v>92</v>
      </c>
      <c r="C4" s="7" t="s">
        <v>24</v>
      </c>
      <c r="D4" s="7" t="s">
        <v>17</v>
      </c>
      <c r="E4" s="11">
        <v>0.07</v>
      </c>
      <c r="F4" s="11">
        <v>0.07</v>
      </c>
      <c r="G4" s="11">
        <v>0.07</v>
      </c>
      <c r="H4" s="11">
        <v>0.07</v>
      </c>
      <c r="I4" s="11">
        <v>0.07</v>
      </c>
      <c r="J4" s="11">
        <v>0.08</v>
      </c>
      <c r="K4" s="11">
        <v>0.08</v>
      </c>
      <c r="L4" s="11">
        <v>0.74</v>
      </c>
      <c r="M4" s="11">
        <v>0.74</v>
      </c>
      <c r="N4" s="11">
        <v>0.74</v>
      </c>
      <c r="O4" s="11">
        <v>0.74</v>
      </c>
      <c r="P4" s="11">
        <v>0.74</v>
      </c>
      <c r="Q4" s="11">
        <v>0.76</v>
      </c>
      <c r="R4" s="11">
        <v>0.8</v>
      </c>
      <c r="S4" s="108">
        <f>42+2</f>
        <v>44</v>
      </c>
      <c r="T4" s="108">
        <f>57+10</f>
        <v>67</v>
      </c>
      <c r="U4" s="108">
        <f>44+2</f>
        <v>46</v>
      </c>
      <c r="V4" s="108">
        <f>61+10</f>
        <v>71</v>
      </c>
      <c r="W4" s="108">
        <f>80+10</f>
        <v>90</v>
      </c>
      <c r="X4" s="108">
        <f>57+10</f>
        <v>67</v>
      </c>
      <c r="Y4" s="35"/>
    </row>
    <row r="5" spans="1:25" s="13" customFormat="1" ht="56.25" customHeight="1">
      <c r="A5" s="153"/>
      <c r="B5" s="139"/>
      <c r="C5" s="7" t="s">
        <v>305</v>
      </c>
      <c r="D5" s="7" t="s">
        <v>17</v>
      </c>
      <c r="E5" s="11">
        <v>0.06</v>
      </c>
      <c r="F5" s="11">
        <v>0.06</v>
      </c>
      <c r="G5" s="11">
        <v>0.06</v>
      </c>
      <c r="H5" s="11">
        <v>0.06</v>
      </c>
      <c r="I5" s="11">
        <v>0.06</v>
      </c>
      <c r="J5" s="11">
        <v>0.07</v>
      </c>
      <c r="K5" s="11">
        <v>0.07</v>
      </c>
      <c r="L5" s="11">
        <v>0.68</v>
      </c>
      <c r="M5" s="11">
        <v>0.68</v>
      </c>
      <c r="N5" s="11">
        <v>0.68</v>
      </c>
      <c r="O5" s="11">
        <v>0.68</v>
      </c>
      <c r="P5" s="11">
        <v>0.68</v>
      </c>
      <c r="Q5" s="11">
        <v>0.7</v>
      </c>
      <c r="R5" s="11">
        <v>0.74</v>
      </c>
      <c r="S5" s="108">
        <f>39+2</f>
        <v>41</v>
      </c>
      <c r="T5" s="108">
        <f>52+10</f>
        <v>62</v>
      </c>
      <c r="U5" s="108">
        <f>41+2</f>
        <v>43</v>
      </c>
      <c r="V5" s="108">
        <f>56+10</f>
        <v>66</v>
      </c>
      <c r="W5" s="108">
        <f>74+10</f>
        <v>84</v>
      </c>
      <c r="X5" s="108">
        <f>53+10</f>
        <v>63</v>
      </c>
      <c r="Y5" s="23"/>
    </row>
    <row r="6" spans="1:25" s="13" customFormat="1" ht="51" customHeight="1">
      <c r="A6" s="153"/>
      <c r="B6" s="139"/>
      <c r="C6" s="7" t="s">
        <v>27</v>
      </c>
      <c r="D6" s="7" t="s">
        <v>17</v>
      </c>
      <c r="E6" s="11">
        <v>0.06</v>
      </c>
      <c r="F6" s="11">
        <v>0.06</v>
      </c>
      <c r="G6" s="11">
        <v>0.06</v>
      </c>
      <c r="H6" s="11">
        <v>0.06</v>
      </c>
      <c r="I6" s="11">
        <v>0.06</v>
      </c>
      <c r="J6" s="11">
        <v>0.06</v>
      </c>
      <c r="K6" s="11">
        <v>0.07</v>
      </c>
      <c r="L6" s="11">
        <v>0.61</v>
      </c>
      <c r="M6" s="11">
        <v>0.61</v>
      </c>
      <c r="N6" s="11">
        <v>0.61</v>
      </c>
      <c r="O6" s="11">
        <v>0.61</v>
      </c>
      <c r="P6" s="11">
        <v>0.61</v>
      </c>
      <c r="Q6" s="11">
        <v>0.62</v>
      </c>
      <c r="R6" s="11">
        <v>0.66</v>
      </c>
      <c r="S6" s="108">
        <f>35+3</f>
        <v>38</v>
      </c>
      <c r="T6" s="108">
        <f>47+10</f>
        <v>57</v>
      </c>
      <c r="U6" s="108">
        <f>36+3</f>
        <v>39</v>
      </c>
      <c r="V6" s="108">
        <f>50+10</f>
        <v>60</v>
      </c>
      <c r="W6" s="108">
        <f>66+10</f>
        <v>76</v>
      </c>
      <c r="X6" s="108">
        <f>47+10</f>
        <v>57</v>
      </c>
      <c r="Y6" s="23"/>
    </row>
    <row r="7" spans="1:25" s="13" customFormat="1" ht="21.75" customHeight="1">
      <c r="A7" s="153">
        <v>2</v>
      </c>
      <c r="B7" s="139" t="s">
        <v>121</v>
      </c>
      <c r="C7" s="7" t="s">
        <v>235</v>
      </c>
      <c r="D7" s="7" t="s">
        <v>29</v>
      </c>
      <c r="E7" s="11">
        <v>0.1914</v>
      </c>
      <c r="F7" s="11">
        <v>0.1914</v>
      </c>
      <c r="G7" s="11">
        <v>0.1914</v>
      </c>
      <c r="H7" s="11">
        <v>0.1914</v>
      </c>
      <c r="I7" s="11">
        <v>0.1914</v>
      </c>
      <c r="J7" s="11">
        <v>0.1232</v>
      </c>
      <c r="K7" s="11">
        <v>0.147</v>
      </c>
      <c r="L7" s="11">
        <v>0.6066</v>
      </c>
      <c r="M7" s="11">
        <v>0.6066</v>
      </c>
      <c r="N7" s="11">
        <v>0.6066</v>
      </c>
      <c r="O7" s="11">
        <v>0.6066</v>
      </c>
      <c r="P7" s="11">
        <v>0.6066</v>
      </c>
      <c r="Q7" s="11">
        <v>0.5576</v>
      </c>
      <c r="R7" s="11">
        <v>0.632</v>
      </c>
      <c r="S7" s="106">
        <v>40.5</v>
      </c>
      <c r="T7" s="106">
        <v>61.25</v>
      </c>
      <c r="U7" s="106">
        <v>40.5</v>
      </c>
      <c r="V7" s="106">
        <v>63</v>
      </c>
      <c r="W7" s="106">
        <v>66.6</v>
      </c>
      <c r="X7" s="106">
        <v>61.2</v>
      </c>
      <c r="Y7" s="23"/>
    </row>
    <row r="8" spans="1:25" s="13" customFormat="1" ht="21.75" customHeight="1">
      <c r="A8" s="153"/>
      <c r="B8" s="139"/>
      <c r="C8" s="7" t="s">
        <v>185</v>
      </c>
      <c r="D8" s="7"/>
      <c r="E8" s="11">
        <v>0.21</v>
      </c>
      <c r="F8" s="11">
        <v>0.21</v>
      </c>
      <c r="G8" s="11">
        <v>0.21</v>
      </c>
      <c r="H8" s="11">
        <v>0.21</v>
      </c>
      <c r="I8" s="11">
        <v>0.21</v>
      </c>
      <c r="J8" s="11">
        <v>0.1274</v>
      </c>
      <c r="K8" s="11">
        <v>0.1763</v>
      </c>
      <c r="L8" s="11">
        <v>0.6134</v>
      </c>
      <c r="M8" s="11">
        <v>0.6134</v>
      </c>
      <c r="N8" s="11">
        <v>0.6134</v>
      </c>
      <c r="O8" s="11">
        <v>0.6134</v>
      </c>
      <c r="P8" s="11">
        <v>0.6134</v>
      </c>
      <c r="Q8" s="11">
        <v>0.553</v>
      </c>
      <c r="R8" s="11">
        <v>0.62</v>
      </c>
      <c r="S8" s="106">
        <v>40</v>
      </c>
      <c r="T8" s="106">
        <v>61.74</v>
      </c>
      <c r="U8" s="106">
        <v>40</v>
      </c>
      <c r="V8" s="106">
        <v>56.7</v>
      </c>
      <c r="W8" s="106">
        <v>66.6</v>
      </c>
      <c r="X8" s="106">
        <v>60.2</v>
      </c>
      <c r="Y8" s="23"/>
    </row>
    <row r="9" spans="1:25" s="13" customFormat="1" ht="21.75" customHeight="1">
      <c r="A9" s="153"/>
      <c r="B9" s="139"/>
      <c r="C9" s="7" t="s">
        <v>186</v>
      </c>
      <c r="D9" s="7"/>
      <c r="E9" s="11">
        <v>0.2162</v>
      </c>
      <c r="F9" s="11">
        <v>0.2162</v>
      </c>
      <c r="G9" s="11">
        <v>0.2162</v>
      </c>
      <c r="H9" s="11">
        <v>0.2162</v>
      </c>
      <c r="I9" s="11">
        <v>0.2162</v>
      </c>
      <c r="J9" s="11">
        <v>0.206</v>
      </c>
      <c r="K9" s="11">
        <v>0.1872</v>
      </c>
      <c r="L9" s="11">
        <v>0.5584</v>
      </c>
      <c r="M9" s="11">
        <v>0.5584</v>
      </c>
      <c r="N9" s="11">
        <v>0.5584</v>
      </c>
      <c r="O9" s="11">
        <v>0.5584</v>
      </c>
      <c r="P9" s="11">
        <v>0.5584</v>
      </c>
      <c r="Q9" s="11">
        <v>0.5383</v>
      </c>
      <c r="R9" s="11">
        <v>0.5472</v>
      </c>
      <c r="S9" s="106">
        <v>37</v>
      </c>
      <c r="T9" s="106">
        <v>60.9</v>
      </c>
      <c r="U9" s="106">
        <v>37</v>
      </c>
      <c r="V9" s="106">
        <v>56.88</v>
      </c>
      <c r="W9" s="106">
        <v>63.99</v>
      </c>
      <c r="X9" s="106">
        <v>52.62</v>
      </c>
      <c r="Y9" s="23"/>
    </row>
    <row r="10" spans="1:25" s="13" customFormat="1" ht="21.75" customHeight="1">
      <c r="A10" s="153"/>
      <c r="B10" s="139"/>
      <c r="C10" s="7" t="s">
        <v>187</v>
      </c>
      <c r="D10" s="7"/>
      <c r="E10" s="11">
        <v>0.1944</v>
      </c>
      <c r="F10" s="11">
        <v>0.1944</v>
      </c>
      <c r="G10" s="11">
        <v>0.1944</v>
      </c>
      <c r="H10" s="11">
        <v>0.1944</v>
      </c>
      <c r="I10" s="11">
        <v>0.1944</v>
      </c>
      <c r="J10" s="11">
        <v>0.2394</v>
      </c>
      <c r="K10" s="11">
        <v>0.1928</v>
      </c>
      <c r="L10" s="11">
        <v>0.516</v>
      </c>
      <c r="M10" s="11">
        <v>0.516</v>
      </c>
      <c r="N10" s="11">
        <v>0.516</v>
      </c>
      <c r="O10" s="11">
        <v>0.516</v>
      </c>
      <c r="P10" s="11">
        <v>0.516</v>
      </c>
      <c r="Q10" s="11">
        <v>0.5424</v>
      </c>
      <c r="R10" s="11">
        <v>0.536</v>
      </c>
      <c r="S10" s="106">
        <v>36</v>
      </c>
      <c r="T10" s="106">
        <v>60.8</v>
      </c>
      <c r="U10" s="106">
        <v>36</v>
      </c>
      <c r="V10" s="106">
        <v>55.1</v>
      </c>
      <c r="W10" s="106">
        <v>61.2</v>
      </c>
      <c r="X10" s="106">
        <v>53.6</v>
      </c>
      <c r="Y10" s="23"/>
    </row>
    <row r="11" spans="1:25" s="13" customFormat="1" ht="21.75" customHeight="1">
      <c r="A11" s="153"/>
      <c r="B11" s="139"/>
      <c r="C11" s="7" t="s">
        <v>188</v>
      </c>
      <c r="D11" s="7"/>
      <c r="E11" s="11">
        <v>0.2576</v>
      </c>
      <c r="F11" s="11">
        <v>0.2576</v>
      </c>
      <c r="G11" s="11">
        <v>0.2576</v>
      </c>
      <c r="H11" s="11">
        <v>0.2576</v>
      </c>
      <c r="I11" s="11">
        <v>0.2576</v>
      </c>
      <c r="J11" s="11">
        <v>0.1809</v>
      </c>
      <c r="K11" s="11">
        <v>0.1686</v>
      </c>
      <c r="L11" s="11">
        <v>0.586</v>
      </c>
      <c r="M11" s="11">
        <v>0.586</v>
      </c>
      <c r="N11" s="11">
        <v>0.586</v>
      </c>
      <c r="O11" s="11">
        <v>0.586</v>
      </c>
      <c r="P11" s="11">
        <v>0.586</v>
      </c>
      <c r="Q11" s="11">
        <v>0.4921</v>
      </c>
      <c r="R11" s="11">
        <v>0.52</v>
      </c>
      <c r="S11" s="106">
        <v>38.97</v>
      </c>
      <c r="T11" s="106">
        <v>60.7</v>
      </c>
      <c r="U11" s="106">
        <v>38.97</v>
      </c>
      <c r="V11" s="106">
        <v>53</v>
      </c>
      <c r="W11" s="106">
        <v>62</v>
      </c>
      <c r="X11" s="106">
        <v>51</v>
      </c>
      <c r="Y11" s="23"/>
    </row>
    <row r="12" spans="1:25" s="13" customFormat="1" ht="21.75" customHeight="1">
      <c r="A12" s="153"/>
      <c r="B12" s="139"/>
      <c r="C12" s="7" t="s">
        <v>189</v>
      </c>
      <c r="D12" s="7"/>
      <c r="E12" s="11">
        <v>0.2067</v>
      </c>
      <c r="F12" s="11">
        <v>0.2067</v>
      </c>
      <c r="G12" s="11">
        <v>0.2067</v>
      </c>
      <c r="H12" s="11">
        <v>0.2067</v>
      </c>
      <c r="I12" s="11">
        <v>0.2067</v>
      </c>
      <c r="J12" s="11">
        <v>0.2051</v>
      </c>
      <c r="K12" s="11">
        <v>0.1569</v>
      </c>
      <c r="L12" s="11">
        <v>0.5347</v>
      </c>
      <c r="M12" s="11">
        <v>0.5347</v>
      </c>
      <c r="N12" s="11">
        <v>0.5347</v>
      </c>
      <c r="O12" s="11">
        <v>0.5347</v>
      </c>
      <c r="P12" s="11">
        <v>0.5347</v>
      </c>
      <c r="Q12" s="11">
        <v>0.5373</v>
      </c>
      <c r="R12" s="11">
        <v>0.512</v>
      </c>
      <c r="S12" s="106">
        <v>38.7</v>
      </c>
      <c r="T12" s="106">
        <v>59</v>
      </c>
      <c r="U12" s="106">
        <v>38.7</v>
      </c>
      <c r="V12" s="106">
        <v>54.4</v>
      </c>
      <c r="W12" s="106">
        <v>62.7</v>
      </c>
      <c r="X12" s="106">
        <v>53.2</v>
      </c>
      <c r="Y12" s="23"/>
    </row>
    <row r="13" spans="1:25" s="13" customFormat="1" ht="21.75" customHeight="1">
      <c r="A13" s="153"/>
      <c r="B13" s="139"/>
      <c r="C13" s="7" t="s">
        <v>190</v>
      </c>
      <c r="D13" s="7"/>
      <c r="E13" s="11">
        <v>0.2642</v>
      </c>
      <c r="F13" s="11">
        <v>0.2642</v>
      </c>
      <c r="G13" s="11">
        <v>0.2642</v>
      </c>
      <c r="H13" s="11">
        <v>0.2642</v>
      </c>
      <c r="I13" s="11">
        <v>0.2642</v>
      </c>
      <c r="J13" s="11">
        <v>0.1994</v>
      </c>
      <c r="K13" s="11">
        <v>0.2163</v>
      </c>
      <c r="L13" s="11">
        <v>0.5996</v>
      </c>
      <c r="M13" s="11">
        <v>0.5996</v>
      </c>
      <c r="N13" s="11">
        <v>0.5996</v>
      </c>
      <c r="O13" s="11">
        <v>0.5996</v>
      </c>
      <c r="P13" s="11">
        <v>0.5996</v>
      </c>
      <c r="Q13" s="11">
        <v>0.5022</v>
      </c>
      <c r="R13" s="11">
        <v>0.576</v>
      </c>
      <c r="S13" s="106">
        <v>42</v>
      </c>
      <c r="T13" s="106">
        <v>60</v>
      </c>
      <c r="U13" s="106">
        <v>42</v>
      </c>
      <c r="V13" s="106">
        <v>59.5</v>
      </c>
      <c r="W13" s="106">
        <v>65</v>
      </c>
      <c r="X13" s="106">
        <v>61</v>
      </c>
      <c r="Y13" s="23"/>
    </row>
    <row r="14" spans="1:25" s="13" customFormat="1" ht="21.75" customHeight="1">
      <c r="A14" s="153"/>
      <c r="B14" s="139"/>
      <c r="C14" s="7" t="s">
        <v>191</v>
      </c>
      <c r="D14" s="7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06"/>
      <c r="T14" s="106"/>
      <c r="U14" s="106"/>
      <c r="V14" s="106"/>
      <c r="W14" s="106"/>
      <c r="X14" s="106"/>
      <c r="Y14" s="23"/>
    </row>
    <row r="15" spans="1:25" s="13" customFormat="1" ht="24.75" customHeight="1">
      <c r="A15" s="7">
        <v>3</v>
      </c>
      <c r="B15" s="140" t="s">
        <v>37</v>
      </c>
      <c r="C15" s="141"/>
      <c r="D15" s="7" t="s">
        <v>38</v>
      </c>
      <c r="E15" s="11">
        <v>0.226</v>
      </c>
      <c r="F15" s="11">
        <v>0.226</v>
      </c>
      <c r="G15" s="11">
        <v>0.226</v>
      </c>
      <c r="H15" s="11">
        <v>0.226</v>
      </c>
      <c r="I15" s="11">
        <v>0.226</v>
      </c>
      <c r="J15" s="11">
        <v>0.3243</v>
      </c>
      <c r="K15" s="11">
        <v>0.293</v>
      </c>
      <c r="L15" s="109">
        <v>0.61</v>
      </c>
      <c r="M15" s="109">
        <v>0.61</v>
      </c>
      <c r="N15" s="109">
        <v>0.61</v>
      </c>
      <c r="O15" s="109">
        <v>0.61</v>
      </c>
      <c r="P15" s="109">
        <v>0.61</v>
      </c>
      <c r="Q15" s="109">
        <f>68.93%-0.25+0.1</f>
        <v>0.5393</v>
      </c>
      <c r="R15" s="109">
        <f>80%-0.3+0.1</f>
        <v>0.6</v>
      </c>
      <c r="S15" s="106">
        <v>41</v>
      </c>
      <c r="T15" s="106">
        <v>60</v>
      </c>
      <c r="U15" s="106">
        <v>41</v>
      </c>
      <c r="V15" s="106">
        <v>65</v>
      </c>
      <c r="W15" s="106">
        <v>70</v>
      </c>
      <c r="X15" s="106">
        <v>60</v>
      </c>
      <c r="Y15" s="23" t="s">
        <v>256</v>
      </c>
    </row>
    <row r="16" spans="1:25" s="13" customFormat="1" ht="24.75" customHeight="1">
      <c r="A16" s="7">
        <v>4</v>
      </c>
      <c r="B16" s="140" t="s">
        <v>100</v>
      </c>
      <c r="C16" s="141"/>
      <c r="D16" s="7"/>
      <c r="E16" s="11">
        <v>0.2041</v>
      </c>
      <c r="F16" s="11">
        <v>0.2041</v>
      </c>
      <c r="G16" s="11">
        <v>0.2041</v>
      </c>
      <c r="H16" s="11">
        <v>0.2041</v>
      </c>
      <c r="I16" s="11">
        <v>0.2041</v>
      </c>
      <c r="J16" s="11">
        <v>0.0353</v>
      </c>
      <c r="K16" s="11">
        <v>0.0587</v>
      </c>
      <c r="L16" s="11">
        <v>0.5642</v>
      </c>
      <c r="M16" s="11">
        <v>0.5642</v>
      </c>
      <c r="N16" s="11">
        <v>0.5642</v>
      </c>
      <c r="O16" s="11">
        <v>0.5642</v>
      </c>
      <c r="P16" s="11">
        <v>0.5642</v>
      </c>
      <c r="Q16" s="11">
        <v>0.4564</v>
      </c>
      <c r="R16" s="11">
        <v>0.5389</v>
      </c>
      <c r="S16" s="110">
        <v>50</v>
      </c>
      <c r="T16" s="110">
        <v>68.75</v>
      </c>
      <c r="U16" s="110">
        <v>50</v>
      </c>
      <c r="V16" s="110">
        <v>65</v>
      </c>
      <c r="W16" s="110">
        <v>90</v>
      </c>
      <c r="X16" s="110">
        <v>65</v>
      </c>
      <c r="Y16" s="23"/>
    </row>
    <row r="17" spans="1:25" s="13" customFormat="1" ht="40.5" customHeight="1">
      <c r="A17" s="7">
        <v>5</v>
      </c>
      <c r="B17" s="140" t="s">
        <v>43</v>
      </c>
      <c r="C17" s="141"/>
      <c r="D17" s="7" t="s">
        <v>44</v>
      </c>
      <c r="E17" s="11">
        <v>0.2416</v>
      </c>
      <c r="F17" s="11">
        <v>0.2416</v>
      </c>
      <c r="G17" s="11">
        <v>0.2416</v>
      </c>
      <c r="H17" s="11">
        <v>0.2416</v>
      </c>
      <c r="I17" s="11">
        <v>0.2416</v>
      </c>
      <c r="J17" s="11">
        <v>0.2885</v>
      </c>
      <c r="K17" s="11">
        <v>0.254</v>
      </c>
      <c r="L17" s="11">
        <v>0.4349</v>
      </c>
      <c r="M17" s="11">
        <f>53.49%-0.1</f>
        <v>0.43490000000000006</v>
      </c>
      <c r="N17" s="11">
        <f>53.49%-0.1</f>
        <v>0.43490000000000006</v>
      </c>
      <c r="O17" s="11">
        <f>53.49%-0.1</f>
        <v>0.43490000000000006</v>
      </c>
      <c r="P17" s="11">
        <f>53.49%-0.1</f>
        <v>0.43490000000000006</v>
      </c>
      <c r="Q17" s="11">
        <f>55.25%-0.1</f>
        <v>0.4525</v>
      </c>
      <c r="R17" s="11">
        <f>51.8%-0.1</f>
        <v>0.41800000000000004</v>
      </c>
      <c r="S17" s="110">
        <f>30.49+5</f>
        <v>35.489999999999995</v>
      </c>
      <c r="T17" s="106">
        <v>45.19</v>
      </c>
      <c r="U17" s="106">
        <v>33.81</v>
      </c>
      <c r="V17" s="106">
        <v>53.79</v>
      </c>
      <c r="W17" s="106">
        <v>62.37</v>
      </c>
      <c r="X17" s="106">
        <v>44.2</v>
      </c>
      <c r="Y17" s="23" t="s">
        <v>314</v>
      </c>
    </row>
    <row r="18" spans="1:25" s="13" customFormat="1" ht="24.75" customHeight="1">
      <c r="A18" s="154">
        <v>6</v>
      </c>
      <c r="B18" s="143" t="s">
        <v>47</v>
      </c>
      <c r="C18" s="7" t="s">
        <v>148</v>
      </c>
      <c r="D18" s="7" t="s">
        <v>48</v>
      </c>
      <c r="E18" s="11">
        <v>0.1328</v>
      </c>
      <c r="F18" s="11">
        <v>0.1328</v>
      </c>
      <c r="G18" s="11">
        <v>0.1328</v>
      </c>
      <c r="H18" s="11">
        <v>0.1328</v>
      </c>
      <c r="I18" s="11">
        <v>0.1328</v>
      </c>
      <c r="J18" s="11">
        <v>0.1336</v>
      </c>
      <c r="K18" s="11">
        <v>0.1503</v>
      </c>
      <c r="L18" s="11">
        <v>0.3448</v>
      </c>
      <c r="M18" s="11">
        <v>0.3448</v>
      </c>
      <c r="N18" s="11">
        <v>0.3448</v>
      </c>
      <c r="O18" s="11">
        <v>0.3448</v>
      </c>
      <c r="P18" s="11">
        <v>0.3448</v>
      </c>
      <c r="Q18" s="11">
        <v>0.3146</v>
      </c>
      <c r="R18" s="11">
        <v>0.3453</v>
      </c>
      <c r="S18" s="110">
        <f>39-4</f>
        <v>35</v>
      </c>
      <c r="T18" s="106">
        <v>50</v>
      </c>
      <c r="U18" s="110">
        <f>39-4</f>
        <v>35</v>
      </c>
      <c r="V18" s="106">
        <v>51</v>
      </c>
      <c r="W18" s="106">
        <v>58</v>
      </c>
      <c r="X18" s="106">
        <v>50</v>
      </c>
      <c r="Y18" s="23"/>
    </row>
    <row r="19" spans="1:25" s="13" customFormat="1" ht="24.75" customHeight="1">
      <c r="A19" s="163"/>
      <c r="B19" s="144"/>
      <c r="C19" s="7" t="s">
        <v>149</v>
      </c>
      <c r="D19" s="7"/>
      <c r="E19" s="11">
        <v>0.1248</v>
      </c>
      <c r="F19" s="11">
        <v>0.1248</v>
      </c>
      <c r="G19" s="11">
        <v>0.1248</v>
      </c>
      <c r="H19" s="11">
        <v>0.1248</v>
      </c>
      <c r="I19" s="11">
        <v>0.1248</v>
      </c>
      <c r="J19" s="11">
        <v>0.1205</v>
      </c>
      <c r="K19" s="11">
        <v>0.1515</v>
      </c>
      <c r="L19" s="11">
        <v>0.3368</v>
      </c>
      <c r="M19" s="11">
        <v>0.3368</v>
      </c>
      <c r="N19" s="11">
        <v>0.3368</v>
      </c>
      <c r="O19" s="11">
        <v>0.3368</v>
      </c>
      <c r="P19" s="11">
        <v>0.3368</v>
      </c>
      <c r="Q19" s="11">
        <v>0.3015</v>
      </c>
      <c r="R19" s="11">
        <v>0.3465</v>
      </c>
      <c r="S19" s="110">
        <f>39-4</f>
        <v>35</v>
      </c>
      <c r="T19" s="106">
        <v>50</v>
      </c>
      <c r="U19" s="110">
        <f>39-4</f>
        <v>35</v>
      </c>
      <c r="V19" s="106">
        <v>51</v>
      </c>
      <c r="W19" s="106">
        <v>58</v>
      </c>
      <c r="X19" s="106">
        <v>50</v>
      </c>
      <c r="Y19" s="23"/>
    </row>
    <row r="20" spans="1:25" s="13" customFormat="1" ht="24.75" customHeight="1">
      <c r="A20" s="163"/>
      <c r="B20" s="144"/>
      <c r="C20" s="7" t="s">
        <v>150</v>
      </c>
      <c r="D20" s="7"/>
      <c r="E20" s="11">
        <v>0.1253</v>
      </c>
      <c r="F20" s="11">
        <v>0.1253</v>
      </c>
      <c r="G20" s="11">
        <v>0.1253</v>
      </c>
      <c r="H20" s="11">
        <v>0.1253</v>
      </c>
      <c r="I20" s="11">
        <v>0.1253</v>
      </c>
      <c r="J20" s="11">
        <v>0.1197</v>
      </c>
      <c r="K20" s="11">
        <v>0.1479</v>
      </c>
      <c r="L20" s="11">
        <v>0.3303</v>
      </c>
      <c r="M20" s="11">
        <v>0.3303</v>
      </c>
      <c r="N20" s="11">
        <v>0.3303</v>
      </c>
      <c r="O20" s="11">
        <v>0.3303</v>
      </c>
      <c r="P20" s="11">
        <v>0.3303</v>
      </c>
      <c r="Q20" s="11">
        <v>0.2937</v>
      </c>
      <c r="R20" s="11">
        <v>0.3359</v>
      </c>
      <c r="S20" s="110">
        <f>38.5-4</f>
        <v>34.5</v>
      </c>
      <c r="T20" s="106">
        <v>49.5</v>
      </c>
      <c r="U20" s="110">
        <f>38.5-4</f>
        <v>34.5</v>
      </c>
      <c r="V20" s="106">
        <v>50.5</v>
      </c>
      <c r="W20" s="106">
        <v>57.5</v>
      </c>
      <c r="X20" s="106">
        <v>49.5</v>
      </c>
      <c r="Y20" s="23"/>
    </row>
    <row r="21" spans="1:25" s="13" customFormat="1" ht="24.75" customHeight="1">
      <c r="A21" s="155"/>
      <c r="B21" s="145"/>
      <c r="C21" s="7" t="s">
        <v>151</v>
      </c>
      <c r="D21" s="7"/>
      <c r="E21" s="11">
        <v>0.1215</v>
      </c>
      <c r="F21" s="11">
        <v>0.1215</v>
      </c>
      <c r="G21" s="11">
        <v>0.1215</v>
      </c>
      <c r="H21" s="11">
        <v>0.1215</v>
      </c>
      <c r="I21" s="11">
        <v>0.1215</v>
      </c>
      <c r="J21" s="11">
        <v>0.1193</v>
      </c>
      <c r="K21" s="11">
        <v>0.1489</v>
      </c>
      <c r="L21" s="11">
        <v>0.3235</v>
      </c>
      <c r="M21" s="11">
        <v>0.3235</v>
      </c>
      <c r="N21" s="11">
        <v>0.3235</v>
      </c>
      <c r="O21" s="11">
        <v>0.3235</v>
      </c>
      <c r="P21" s="11">
        <v>0.3235</v>
      </c>
      <c r="Q21" s="11">
        <v>0.2893</v>
      </c>
      <c r="R21" s="11">
        <v>0.3329</v>
      </c>
      <c r="S21" s="110">
        <f>38-4</f>
        <v>34</v>
      </c>
      <c r="T21" s="106">
        <v>49</v>
      </c>
      <c r="U21" s="110">
        <f>38-4</f>
        <v>34</v>
      </c>
      <c r="V21" s="106">
        <v>50</v>
      </c>
      <c r="W21" s="106">
        <v>57</v>
      </c>
      <c r="X21" s="106">
        <v>49</v>
      </c>
      <c r="Y21" s="23"/>
    </row>
    <row r="22" spans="1:25" s="13" customFormat="1" ht="24.75" customHeight="1">
      <c r="A22" s="7">
        <v>7</v>
      </c>
      <c r="B22" s="140" t="s">
        <v>56</v>
      </c>
      <c r="C22" s="141"/>
      <c r="D22" s="7" t="s">
        <v>57</v>
      </c>
      <c r="E22" s="11">
        <v>0.1852</v>
      </c>
      <c r="F22" s="11">
        <v>0.1852</v>
      </c>
      <c r="G22" s="11">
        <v>0.1852</v>
      </c>
      <c r="H22" s="11">
        <v>0.1852</v>
      </c>
      <c r="I22" s="11">
        <v>0.1852</v>
      </c>
      <c r="J22" s="11">
        <v>0.159</v>
      </c>
      <c r="K22" s="11">
        <v>0.1764</v>
      </c>
      <c r="L22" s="11">
        <v>0.6252</v>
      </c>
      <c r="M22" s="11">
        <v>0.6252</v>
      </c>
      <c r="N22" s="11">
        <v>0.6252</v>
      </c>
      <c r="O22" s="11">
        <v>0.6252</v>
      </c>
      <c r="P22" s="11">
        <v>0.6252</v>
      </c>
      <c r="Q22" s="11">
        <v>0.413</v>
      </c>
      <c r="R22" s="11">
        <v>0.5356</v>
      </c>
      <c r="S22" s="106">
        <f>30.96+10</f>
        <v>40.96</v>
      </c>
      <c r="T22" s="110">
        <f>47.85+10</f>
        <v>57.85</v>
      </c>
      <c r="U22" s="110">
        <f>30.96+10</f>
        <v>40.96</v>
      </c>
      <c r="V22" s="106">
        <v>49.84</v>
      </c>
      <c r="W22" s="107">
        <f>55.79+5</f>
        <v>60.79</v>
      </c>
      <c r="X22" s="106">
        <v>44.64</v>
      </c>
      <c r="Y22" s="23"/>
    </row>
    <row r="23" spans="1:25" s="13" customFormat="1" ht="42.75" customHeight="1">
      <c r="A23" s="153">
        <v>8</v>
      </c>
      <c r="B23" s="139" t="s">
        <v>122</v>
      </c>
      <c r="C23" s="7" t="s">
        <v>93</v>
      </c>
      <c r="D23" s="7" t="s">
        <v>60</v>
      </c>
      <c r="E23" s="11"/>
      <c r="F23" s="11">
        <v>0.1871</v>
      </c>
      <c r="G23" s="11">
        <v>0.1871</v>
      </c>
      <c r="H23" s="11"/>
      <c r="I23" s="11"/>
      <c r="J23" s="11"/>
      <c r="K23" s="11"/>
      <c r="L23" s="11"/>
      <c r="M23" s="109">
        <f>98.04%-0.18</f>
        <v>0.8004</v>
      </c>
      <c r="N23" s="109">
        <f>98.04%-0.18</f>
        <v>0.8004</v>
      </c>
      <c r="O23" s="11"/>
      <c r="P23" s="11"/>
      <c r="Q23" s="11"/>
      <c r="R23" s="11"/>
      <c r="S23" s="106">
        <v>44.5</v>
      </c>
      <c r="T23" s="106">
        <v>54.25</v>
      </c>
      <c r="U23" s="106"/>
      <c r="V23" s="106"/>
      <c r="W23" s="106"/>
      <c r="X23" s="106"/>
      <c r="Y23" s="142" t="s">
        <v>306</v>
      </c>
    </row>
    <row r="24" spans="1:25" s="13" customFormat="1" ht="25.5" customHeight="1">
      <c r="A24" s="153"/>
      <c r="B24" s="139"/>
      <c r="C24" s="7" t="s">
        <v>94</v>
      </c>
      <c r="D24" s="7"/>
      <c r="E24" s="11"/>
      <c r="F24" s="11">
        <v>0.2102</v>
      </c>
      <c r="G24" s="11">
        <v>0.2102</v>
      </c>
      <c r="H24" s="11"/>
      <c r="I24" s="11"/>
      <c r="J24" s="11"/>
      <c r="K24" s="11"/>
      <c r="L24" s="11"/>
      <c r="M24" s="109">
        <f>93.73%-0.2</f>
        <v>0.7373000000000001</v>
      </c>
      <c r="N24" s="109">
        <f>93.73%-0.2</f>
        <v>0.7373000000000001</v>
      </c>
      <c r="O24" s="11"/>
      <c r="P24" s="11"/>
      <c r="Q24" s="11"/>
      <c r="R24" s="11"/>
      <c r="S24" s="106">
        <v>43.5</v>
      </c>
      <c r="T24" s="106">
        <v>53.25</v>
      </c>
      <c r="U24" s="106"/>
      <c r="V24" s="106"/>
      <c r="W24" s="106"/>
      <c r="X24" s="106"/>
      <c r="Y24" s="142"/>
    </row>
    <row r="25" spans="1:25" s="13" customFormat="1" ht="25.5" customHeight="1">
      <c r="A25" s="153"/>
      <c r="B25" s="139"/>
      <c r="C25" s="7" t="s">
        <v>95</v>
      </c>
      <c r="D25" s="7"/>
      <c r="E25" s="11"/>
      <c r="F25" s="11">
        <v>0.164</v>
      </c>
      <c r="G25" s="11">
        <v>0.164</v>
      </c>
      <c r="H25" s="11"/>
      <c r="I25" s="11"/>
      <c r="J25" s="11"/>
      <c r="K25" s="11"/>
      <c r="L25" s="11"/>
      <c r="M25" s="109">
        <f>85.11%-0.16</f>
        <v>0.6910999999999999</v>
      </c>
      <c r="N25" s="109">
        <f>85.11%-0.16</f>
        <v>0.6910999999999999</v>
      </c>
      <c r="O25" s="11"/>
      <c r="P25" s="11"/>
      <c r="Q25" s="11"/>
      <c r="R25" s="11"/>
      <c r="S25" s="106">
        <v>41.5</v>
      </c>
      <c r="T25" s="106">
        <v>51.25</v>
      </c>
      <c r="U25" s="106"/>
      <c r="V25" s="106"/>
      <c r="W25" s="106"/>
      <c r="X25" s="106"/>
      <c r="Y25" s="142"/>
    </row>
    <row r="26" spans="1:25" s="13" customFormat="1" ht="25.5" customHeight="1">
      <c r="A26" s="153"/>
      <c r="B26" s="139"/>
      <c r="C26" s="7" t="s">
        <v>96</v>
      </c>
      <c r="D26" s="7"/>
      <c r="E26" s="11"/>
      <c r="F26" s="11">
        <v>0.2102</v>
      </c>
      <c r="G26" s="11">
        <v>0.2102</v>
      </c>
      <c r="H26" s="11"/>
      <c r="I26" s="11"/>
      <c r="J26" s="11"/>
      <c r="K26" s="11"/>
      <c r="L26" s="11"/>
      <c r="M26" s="109">
        <f>93.73%-0.2</f>
        <v>0.7373000000000001</v>
      </c>
      <c r="N26" s="109">
        <f>93.73%-0.2</f>
        <v>0.7373000000000001</v>
      </c>
      <c r="O26" s="11"/>
      <c r="P26" s="11"/>
      <c r="Q26" s="11"/>
      <c r="R26" s="11"/>
      <c r="S26" s="106">
        <v>43.5</v>
      </c>
      <c r="T26" s="106">
        <v>53.25</v>
      </c>
      <c r="U26" s="106"/>
      <c r="V26" s="106"/>
      <c r="W26" s="106"/>
      <c r="X26" s="106"/>
      <c r="Y26" s="142"/>
    </row>
    <row r="27" spans="1:25" s="13" customFormat="1" ht="25.5" customHeight="1">
      <c r="A27" s="153"/>
      <c r="B27" s="139"/>
      <c r="C27" s="7" t="s">
        <v>97</v>
      </c>
      <c r="D27" s="7"/>
      <c r="E27" s="11"/>
      <c r="F27" s="11">
        <v>0.1871</v>
      </c>
      <c r="G27" s="11">
        <v>0.1871</v>
      </c>
      <c r="H27" s="11"/>
      <c r="I27" s="11"/>
      <c r="J27" s="11"/>
      <c r="K27" s="11"/>
      <c r="L27" s="11"/>
      <c r="M27" s="109">
        <f>89.42%-0.18</f>
        <v>0.7142</v>
      </c>
      <c r="N27" s="109">
        <f>89.42%-0.18</f>
        <v>0.7142</v>
      </c>
      <c r="O27" s="11"/>
      <c r="P27" s="11"/>
      <c r="Q27" s="11"/>
      <c r="R27" s="11"/>
      <c r="S27" s="106">
        <v>42.5</v>
      </c>
      <c r="T27" s="106">
        <v>52.25</v>
      </c>
      <c r="U27" s="106"/>
      <c r="V27" s="106"/>
      <c r="W27" s="106"/>
      <c r="X27" s="106"/>
      <c r="Y27" s="142"/>
    </row>
    <row r="28" spans="1:25" s="13" customFormat="1" ht="25.5" customHeight="1">
      <c r="A28" s="153"/>
      <c r="B28" s="139"/>
      <c r="C28" s="7" t="s">
        <v>98</v>
      </c>
      <c r="D28" s="7"/>
      <c r="E28" s="11"/>
      <c r="F28" s="11">
        <v>0.1871</v>
      </c>
      <c r="G28" s="11">
        <v>0.1871</v>
      </c>
      <c r="H28" s="11"/>
      <c r="I28" s="11"/>
      <c r="J28" s="11"/>
      <c r="K28" s="11"/>
      <c r="L28" s="11"/>
      <c r="M28" s="109">
        <f>89.42%-0.18</f>
        <v>0.7142</v>
      </c>
      <c r="N28" s="109">
        <f>89.42%-0.18</f>
        <v>0.7142</v>
      </c>
      <c r="O28" s="11"/>
      <c r="P28" s="11"/>
      <c r="Q28" s="11"/>
      <c r="R28" s="11"/>
      <c r="S28" s="106">
        <v>42.5</v>
      </c>
      <c r="T28" s="106">
        <v>52.25</v>
      </c>
      <c r="U28" s="106"/>
      <c r="V28" s="106"/>
      <c r="W28" s="106"/>
      <c r="X28" s="106"/>
      <c r="Y28" s="142"/>
    </row>
    <row r="29" spans="1:25" s="13" customFormat="1" ht="29.25" customHeight="1">
      <c r="A29" s="153">
        <v>9</v>
      </c>
      <c r="B29" s="139" t="s">
        <v>65</v>
      </c>
      <c r="C29" s="7" t="s">
        <v>124</v>
      </c>
      <c r="D29" s="7" t="s">
        <v>66</v>
      </c>
      <c r="E29" s="11">
        <v>0.045</v>
      </c>
      <c r="F29" s="11">
        <v>0.045</v>
      </c>
      <c r="G29" s="11">
        <v>0.045</v>
      </c>
      <c r="H29" s="11">
        <v>0.045</v>
      </c>
      <c r="I29" s="11">
        <v>0.045</v>
      </c>
      <c r="J29" s="11">
        <v>0.0047</v>
      </c>
      <c r="K29" s="11">
        <v>0</v>
      </c>
      <c r="L29" s="11">
        <v>0.3513</v>
      </c>
      <c r="M29" s="11">
        <v>0.3513</v>
      </c>
      <c r="N29" s="11">
        <v>0.3513</v>
      </c>
      <c r="O29" s="11">
        <v>0.3513</v>
      </c>
      <c r="P29" s="11">
        <v>0.3513</v>
      </c>
      <c r="Q29" s="11">
        <v>0.1817</v>
      </c>
      <c r="R29" s="11">
        <v>0.392</v>
      </c>
      <c r="S29" s="111">
        <f>29.35+5</f>
        <v>34.35</v>
      </c>
      <c r="T29" s="111">
        <f>39.85+5</f>
        <v>44.85</v>
      </c>
      <c r="U29" s="111">
        <f>29.35+5</f>
        <v>34.35</v>
      </c>
      <c r="V29" s="111">
        <f>41.1+5</f>
        <v>46.1</v>
      </c>
      <c r="W29" s="111">
        <f>50.75+5</f>
        <v>55.75</v>
      </c>
      <c r="X29" s="111">
        <f>41.05+5</f>
        <v>46.05</v>
      </c>
      <c r="Y29" s="23"/>
    </row>
    <row r="30" spans="1:25" s="13" customFormat="1" ht="29.25" customHeight="1">
      <c r="A30" s="153"/>
      <c r="B30" s="139"/>
      <c r="C30" s="7" t="s">
        <v>125</v>
      </c>
      <c r="D30" s="7"/>
      <c r="E30" s="11">
        <v>0.0346</v>
      </c>
      <c r="F30" s="11">
        <v>0.0346</v>
      </c>
      <c r="G30" s="11">
        <v>0.0346</v>
      </c>
      <c r="H30" s="11">
        <v>0.0346</v>
      </c>
      <c r="I30" s="11">
        <v>0.0346</v>
      </c>
      <c r="J30" s="11">
        <v>0.0204</v>
      </c>
      <c r="K30" s="11">
        <v>0.044</v>
      </c>
      <c r="L30" s="11">
        <v>0.26</v>
      </c>
      <c r="M30" s="11">
        <v>0.26</v>
      </c>
      <c r="N30" s="11">
        <v>0.26</v>
      </c>
      <c r="O30" s="11">
        <v>0.26</v>
      </c>
      <c r="P30" s="11">
        <v>0.26</v>
      </c>
      <c r="Q30" s="11">
        <v>0.1356</v>
      </c>
      <c r="R30" s="11">
        <v>0.3152</v>
      </c>
      <c r="S30" s="111">
        <f>25.5+5</f>
        <v>30.5</v>
      </c>
      <c r="T30" s="111">
        <f>38.75+5</f>
        <v>43.75</v>
      </c>
      <c r="U30" s="111">
        <f>25.5+5</f>
        <v>30.5</v>
      </c>
      <c r="V30" s="111">
        <f>41.42+5</f>
        <v>46.42</v>
      </c>
      <c r="W30" s="111">
        <f>48.65+5</f>
        <v>53.65</v>
      </c>
      <c r="X30" s="111">
        <f>39.13+5</f>
        <v>44.13</v>
      </c>
      <c r="Y30" s="23"/>
    </row>
    <row r="31" spans="1:25" s="13" customFormat="1" ht="29.25" customHeight="1">
      <c r="A31" s="153"/>
      <c r="B31" s="139"/>
      <c r="C31" s="7" t="s">
        <v>126</v>
      </c>
      <c r="D31" s="7"/>
      <c r="E31" s="11">
        <v>0.0635</v>
      </c>
      <c r="F31" s="11">
        <v>0.0635</v>
      </c>
      <c r="G31" s="11">
        <v>0.0635</v>
      </c>
      <c r="H31" s="11">
        <v>0.0635</v>
      </c>
      <c r="I31" s="11">
        <v>0.0635</v>
      </c>
      <c r="J31" s="11">
        <v>0.0112</v>
      </c>
      <c r="K31" s="11">
        <v>0.0436</v>
      </c>
      <c r="L31" s="11">
        <v>0.2765</v>
      </c>
      <c r="M31" s="11">
        <v>0.2765</v>
      </c>
      <c r="N31" s="11">
        <v>0.2765</v>
      </c>
      <c r="O31" s="11">
        <v>0.2765</v>
      </c>
      <c r="P31" s="11">
        <v>0.2765</v>
      </c>
      <c r="Q31" s="11">
        <v>0.1432</v>
      </c>
      <c r="R31" s="11">
        <v>0.308</v>
      </c>
      <c r="S31" s="111">
        <f>25.5+5</f>
        <v>30.5</v>
      </c>
      <c r="T31" s="111">
        <f>38.85+5</f>
        <v>43.85</v>
      </c>
      <c r="U31" s="111">
        <f>25.5+5</f>
        <v>30.5</v>
      </c>
      <c r="V31" s="111">
        <f>41.67+5</f>
        <v>46.67</v>
      </c>
      <c r="W31" s="111">
        <f>48.95+5</f>
        <v>53.95</v>
      </c>
      <c r="X31" s="111">
        <f>38.95+5</f>
        <v>43.95</v>
      </c>
      <c r="Y31" s="23"/>
    </row>
    <row r="32" spans="1:25" s="13" customFormat="1" ht="29.25" customHeight="1">
      <c r="A32" s="153"/>
      <c r="B32" s="139"/>
      <c r="C32" s="7" t="s">
        <v>127</v>
      </c>
      <c r="D32" s="7"/>
      <c r="E32" s="11">
        <v>0.056</v>
      </c>
      <c r="F32" s="11">
        <v>0.056</v>
      </c>
      <c r="G32" s="11">
        <v>0.056</v>
      </c>
      <c r="H32" s="11">
        <v>0.056</v>
      </c>
      <c r="I32" s="11">
        <v>0.056</v>
      </c>
      <c r="J32" s="11">
        <v>0.0079</v>
      </c>
      <c r="K32" s="11">
        <v>0.0058</v>
      </c>
      <c r="L32" s="11">
        <v>0.4384</v>
      </c>
      <c r="M32" s="11">
        <v>0.4384</v>
      </c>
      <c r="N32" s="11">
        <v>0.4384</v>
      </c>
      <c r="O32" s="11">
        <v>0.4384</v>
      </c>
      <c r="P32" s="11">
        <v>0.4384</v>
      </c>
      <c r="Q32" s="11">
        <v>0.1387</v>
      </c>
      <c r="R32" s="11">
        <v>0.44</v>
      </c>
      <c r="S32" s="111">
        <f>29.7+5</f>
        <v>34.7</v>
      </c>
      <c r="T32" s="111">
        <f>42.45+5</f>
        <v>47.45</v>
      </c>
      <c r="U32" s="111">
        <f>29.7+5</f>
        <v>34.7</v>
      </c>
      <c r="V32" s="111">
        <f>40.38+5</f>
        <v>45.38</v>
      </c>
      <c r="W32" s="111">
        <f>49.85+5</f>
        <v>54.85</v>
      </c>
      <c r="X32" s="111">
        <f>42.25+5</f>
        <v>47.25</v>
      </c>
      <c r="Y32" s="23"/>
    </row>
    <row r="33" spans="1:25" s="13" customFormat="1" ht="29.25" customHeight="1">
      <c r="A33" s="153"/>
      <c r="B33" s="139"/>
      <c r="C33" s="7" t="s">
        <v>128</v>
      </c>
      <c r="D33" s="7"/>
      <c r="E33" s="11">
        <v>0.0654</v>
      </c>
      <c r="F33" s="11">
        <v>0.0654</v>
      </c>
      <c r="G33" s="11">
        <v>0.0654</v>
      </c>
      <c r="H33" s="11">
        <v>0.0654</v>
      </c>
      <c r="I33" s="11">
        <v>0.0654</v>
      </c>
      <c r="J33" s="11">
        <v>0.0267</v>
      </c>
      <c r="K33" s="11">
        <v>0.0363</v>
      </c>
      <c r="L33" s="11">
        <v>0.4583</v>
      </c>
      <c r="M33" s="11">
        <v>0.4583</v>
      </c>
      <c r="N33" s="11">
        <v>0.4583</v>
      </c>
      <c r="O33" s="11">
        <v>0.4583</v>
      </c>
      <c r="P33" s="11">
        <v>0.4583</v>
      </c>
      <c r="Q33" s="11">
        <v>0.1337</v>
      </c>
      <c r="R33" s="11">
        <v>0.452</v>
      </c>
      <c r="S33" s="111">
        <f>30.05+5</f>
        <v>35.05</v>
      </c>
      <c r="T33" s="111">
        <f>42.95+5</f>
        <v>47.95</v>
      </c>
      <c r="U33" s="111">
        <f>30.05+5</f>
        <v>35.05</v>
      </c>
      <c r="V33" s="111">
        <f>40.14+5</f>
        <v>45.14</v>
      </c>
      <c r="W33" s="111">
        <f>49.55+5</f>
        <v>54.55</v>
      </c>
      <c r="X33" s="111">
        <f>42.55+5</f>
        <v>47.55</v>
      </c>
      <c r="Y33" s="23"/>
    </row>
    <row r="34" spans="1:25" s="13" customFormat="1" ht="29.25" customHeight="1">
      <c r="A34" s="153">
        <v>10</v>
      </c>
      <c r="B34" s="139" t="s">
        <v>123</v>
      </c>
      <c r="C34" s="7" t="s">
        <v>101</v>
      </c>
      <c r="D34" s="7" t="s">
        <v>69</v>
      </c>
      <c r="E34" s="11">
        <v>0.0743</v>
      </c>
      <c r="F34" s="11">
        <v>0.0743</v>
      </c>
      <c r="G34" s="11">
        <v>0.0743</v>
      </c>
      <c r="H34" s="11">
        <v>0.0743</v>
      </c>
      <c r="I34" s="11">
        <v>0.0743</v>
      </c>
      <c r="J34" s="11">
        <v>0.0521</v>
      </c>
      <c r="K34" s="11">
        <v>0.0324</v>
      </c>
      <c r="L34" s="11">
        <v>0.2523</v>
      </c>
      <c r="M34" s="11">
        <v>0.2523</v>
      </c>
      <c r="N34" s="11">
        <v>0.2523</v>
      </c>
      <c r="O34" s="11">
        <v>0.2523</v>
      </c>
      <c r="P34" s="11">
        <v>0.2523</v>
      </c>
      <c r="Q34" s="11">
        <v>0.1423</v>
      </c>
      <c r="R34" s="11">
        <v>0.1724</v>
      </c>
      <c r="S34" s="110">
        <f>30.05+3</f>
        <v>33.05</v>
      </c>
      <c r="T34" s="110">
        <f>37.72+3</f>
        <v>40.72</v>
      </c>
      <c r="U34" s="110">
        <f>30.05+3</f>
        <v>33.05</v>
      </c>
      <c r="V34" s="110">
        <f>41.75+3</f>
        <v>44.75</v>
      </c>
      <c r="W34" s="110">
        <f>49.89+3</f>
        <v>52.89</v>
      </c>
      <c r="X34" s="110">
        <f>36.47+3</f>
        <v>39.47</v>
      </c>
      <c r="Y34" s="23" t="s">
        <v>307</v>
      </c>
    </row>
    <row r="35" spans="1:25" s="13" customFormat="1" ht="29.25" customHeight="1">
      <c r="A35" s="153"/>
      <c r="B35" s="139"/>
      <c r="C35" s="7" t="s">
        <v>102</v>
      </c>
      <c r="D35" s="7"/>
      <c r="E35" s="11">
        <v>0.0796</v>
      </c>
      <c r="F35" s="11">
        <v>0.0796</v>
      </c>
      <c r="G35" s="11">
        <v>0.0796</v>
      </c>
      <c r="H35" s="11">
        <v>0.0796</v>
      </c>
      <c r="I35" s="11">
        <v>0.0796</v>
      </c>
      <c r="J35" s="11">
        <v>0.0489</v>
      </c>
      <c r="K35" s="11">
        <v>0.024</v>
      </c>
      <c r="L35" s="11">
        <v>0.2147</v>
      </c>
      <c r="M35" s="11">
        <v>0.2147</v>
      </c>
      <c r="N35" s="11">
        <v>0.2147</v>
      </c>
      <c r="O35" s="11">
        <v>0.2147</v>
      </c>
      <c r="P35" s="11">
        <v>0.2147</v>
      </c>
      <c r="Q35" s="11">
        <v>0.1157</v>
      </c>
      <c r="R35" s="11">
        <v>0.184</v>
      </c>
      <c r="S35" s="110">
        <f>29+3</f>
        <v>32</v>
      </c>
      <c r="T35" s="110">
        <f>36.25+3</f>
        <v>39.25</v>
      </c>
      <c r="U35" s="110">
        <f>29+3</f>
        <v>32</v>
      </c>
      <c r="V35" s="110">
        <f>40.5+3</f>
        <v>43.5</v>
      </c>
      <c r="W35" s="110">
        <f>46.25+3</f>
        <v>49.25</v>
      </c>
      <c r="X35" s="110">
        <f>35.85+3</f>
        <v>38.85</v>
      </c>
      <c r="Y35" s="23" t="s">
        <v>308</v>
      </c>
    </row>
    <row r="36" spans="1:25" s="13" customFormat="1" ht="29.25" customHeight="1">
      <c r="A36" s="153"/>
      <c r="B36" s="139"/>
      <c r="C36" s="7" t="s">
        <v>103</v>
      </c>
      <c r="D36" s="7"/>
      <c r="E36" s="11">
        <v>0.083</v>
      </c>
      <c r="F36" s="11">
        <v>0.083</v>
      </c>
      <c r="G36" s="11">
        <v>0.083</v>
      </c>
      <c r="H36" s="11">
        <v>0.083</v>
      </c>
      <c r="I36" s="11">
        <v>0.083</v>
      </c>
      <c r="J36" s="11">
        <v>0.0587</v>
      </c>
      <c r="K36" s="11">
        <v>0.08</v>
      </c>
      <c r="L36" s="11">
        <v>0.2019</v>
      </c>
      <c r="M36" s="11">
        <v>0.2019</v>
      </c>
      <c r="N36" s="11">
        <v>0.2019</v>
      </c>
      <c r="O36" s="11">
        <v>0.2019</v>
      </c>
      <c r="P36" s="11">
        <v>0.2019</v>
      </c>
      <c r="Q36" s="11">
        <v>0.111</v>
      </c>
      <c r="R36" s="11">
        <v>0.16</v>
      </c>
      <c r="S36" s="110">
        <f>29+3</f>
        <v>32</v>
      </c>
      <c r="T36" s="110">
        <f>35.75+3</f>
        <v>38.75</v>
      </c>
      <c r="U36" s="110">
        <f>29+3</f>
        <v>32</v>
      </c>
      <c r="V36" s="110">
        <f>40.35+3</f>
        <v>43.35</v>
      </c>
      <c r="W36" s="110">
        <f>45.75+3</f>
        <v>48.75</v>
      </c>
      <c r="X36" s="110">
        <f>35.25+3</f>
        <v>38.25</v>
      </c>
      <c r="Y36" s="23" t="s">
        <v>309</v>
      </c>
    </row>
    <row r="37" spans="1:25" s="18" customFormat="1" ht="29.25" customHeight="1">
      <c r="A37" s="153"/>
      <c r="B37" s="139"/>
      <c r="C37" s="7" t="s">
        <v>104</v>
      </c>
      <c r="D37" s="17"/>
      <c r="E37" s="11">
        <v>0.0679</v>
      </c>
      <c r="F37" s="11">
        <v>0.0679</v>
      </c>
      <c r="G37" s="11">
        <v>0.0679</v>
      </c>
      <c r="H37" s="11">
        <v>0.0679</v>
      </c>
      <c r="I37" s="11">
        <v>0.0679</v>
      </c>
      <c r="J37" s="11">
        <v>0.0557</v>
      </c>
      <c r="K37" s="11">
        <v>0.028</v>
      </c>
      <c r="L37" s="11">
        <v>0.2243</v>
      </c>
      <c r="M37" s="11">
        <v>0.2243</v>
      </c>
      <c r="N37" s="11">
        <v>0.2243</v>
      </c>
      <c r="O37" s="11">
        <v>0.2243</v>
      </c>
      <c r="P37" s="11">
        <v>0.2243</v>
      </c>
      <c r="Q37" s="11">
        <v>0.1069</v>
      </c>
      <c r="R37" s="11">
        <v>0.188</v>
      </c>
      <c r="S37" s="110">
        <f>29+3</f>
        <v>32</v>
      </c>
      <c r="T37" s="110">
        <f>36.75+3</f>
        <v>39.75</v>
      </c>
      <c r="U37" s="110">
        <f>29+3</f>
        <v>32</v>
      </c>
      <c r="V37" s="110">
        <f>40+3</f>
        <v>43</v>
      </c>
      <c r="W37" s="110">
        <f>46.75+3</f>
        <v>49.75</v>
      </c>
      <c r="X37" s="110">
        <f>35.95+3</f>
        <v>38.95</v>
      </c>
      <c r="Y37" s="23" t="s">
        <v>310</v>
      </c>
    </row>
    <row r="38" spans="1:25" s="13" customFormat="1" ht="29.25" customHeight="1">
      <c r="A38" s="153"/>
      <c r="B38" s="139"/>
      <c r="C38" s="7" t="s">
        <v>105</v>
      </c>
      <c r="D38" s="7"/>
      <c r="E38" s="11">
        <v>0.0734</v>
      </c>
      <c r="F38" s="11">
        <v>0.0734</v>
      </c>
      <c r="G38" s="11">
        <v>0.0734</v>
      </c>
      <c r="H38" s="11">
        <v>0.0734</v>
      </c>
      <c r="I38" s="11">
        <v>0.0734</v>
      </c>
      <c r="J38" s="11">
        <v>0.0437</v>
      </c>
      <c r="K38" s="11">
        <v>0.04</v>
      </c>
      <c r="L38" s="11">
        <v>0.1652</v>
      </c>
      <c r="M38" s="11">
        <v>0.1652</v>
      </c>
      <c r="N38" s="11">
        <v>0.1652</v>
      </c>
      <c r="O38" s="11">
        <v>0.1652</v>
      </c>
      <c r="P38" s="11">
        <v>0.1652</v>
      </c>
      <c r="Q38" s="11">
        <v>0.0748</v>
      </c>
      <c r="R38" s="11">
        <v>0.1</v>
      </c>
      <c r="S38" s="110">
        <f>26+3</f>
        <v>29</v>
      </c>
      <c r="T38" s="110">
        <f>35+3</f>
        <v>38</v>
      </c>
      <c r="U38" s="110">
        <f>26+3</f>
        <v>29</v>
      </c>
      <c r="V38" s="110">
        <f>39.3+3</f>
        <v>42.3</v>
      </c>
      <c r="W38" s="110">
        <f>45.25+3</f>
        <v>48.25</v>
      </c>
      <c r="X38" s="110">
        <f>33.75+3</f>
        <v>36.75</v>
      </c>
      <c r="Y38" s="23" t="s">
        <v>311</v>
      </c>
    </row>
    <row r="39" spans="1:25" s="13" customFormat="1" ht="29.25" customHeight="1">
      <c r="A39" s="7">
        <v>11</v>
      </c>
      <c r="B39" s="140" t="s">
        <v>80</v>
      </c>
      <c r="C39" s="141"/>
      <c r="D39" s="7" t="s">
        <v>81</v>
      </c>
      <c r="E39" s="11">
        <v>0.1118</v>
      </c>
      <c r="F39" s="11">
        <v>0.1118</v>
      </c>
      <c r="G39" s="11">
        <v>0.1118</v>
      </c>
      <c r="H39" s="11">
        <v>0.1118</v>
      </c>
      <c r="I39" s="11">
        <v>0.1118</v>
      </c>
      <c r="J39" s="11">
        <v>0.1077</v>
      </c>
      <c r="K39" s="11">
        <v>0.112</v>
      </c>
      <c r="L39" s="11">
        <v>0.5193</v>
      </c>
      <c r="M39" s="11">
        <v>0.5193</v>
      </c>
      <c r="N39" s="11">
        <v>0.5193</v>
      </c>
      <c r="O39" s="11">
        <v>0.5193</v>
      </c>
      <c r="P39" s="11">
        <v>0.5193</v>
      </c>
      <c r="Q39" s="11">
        <v>0.4357</v>
      </c>
      <c r="R39" s="11">
        <v>0.508</v>
      </c>
      <c r="S39" s="106">
        <v>36.8</v>
      </c>
      <c r="T39" s="106">
        <v>50.3</v>
      </c>
      <c r="U39" s="106">
        <v>36.8</v>
      </c>
      <c r="V39" s="106">
        <v>55</v>
      </c>
      <c r="W39" s="106">
        <v>65</v>
      </c>
      <c r="X39" s="106">
        <v>50</v>
      </c>
      <c r="Y39" s="23"/>
    </row>
    <row r="40" spans="1:25" s="13" customFormat="1" ht="84" customHeight="1">
      <c r="A40" s="147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21"/>
    </row>
  </sheetData>
  <sheetProtection/>
  <mergeCells count="27">
    <mergeCell ref="A7:A14"/>
    <mergeCell ref="B7:B14"/>
    <mergeCell ref="B15:C15"/>
    <mergeCell ref="E2:K2"/>
    <mergeCell ref="B16:C16"/>
    <mergeCell ref="A1:Y1"/>
    <mergeCell ref="A2:A3"/>
    <mergeCell ref="B2:C3"/>
    <mergeCell ref="D2:D3"/>
    <mergeCell ref="L2:R2"/>
    <mergeCell ref="S2:X2"/>
    <mergeCell ref="Y2:Y3"/>
    <mergeCell ref="A4:A6"/>
    <mergeCell ref="B4:B6"/>
    <mergeCell ref="B17:C17"/>
    <mergeCell ref="A18:A21"/>
    <mergeCell ref="B18:B21"/>
    <mergeCell ref="B22:C22"/>
    <mergeCell ref="A40:X40"/>
    <mergeCell ref="Y23:Y28"/>
    <mergeCell ref="A29:A33"/>
    <mergeCell ref="B29:B33"/>
    <mergeCell ref="A34:A38"/>
    <mergeCell ref="B34:B38"/>
    <mergeCell ref="B39:C39"/>
    <mergeCell ref="A23:A28"/>
    <mergeCell ref="B23:B28"/>
  </mergeCells>
  <printOptions/>
  <pageMargins left="0.4724409448818898" right="0.4724409448818898" top="0.7480314960629921" bottom="0.5511811023622047" header="0.1968503937007874" footer="0.1574803149606299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40"/>
  <sheetViews>
    <sheetView zoomScale="90" zoomScaleNormal="90" zoomScalePageLayoutView="0" workbookViewId="0" topLeftCell="A1">
      <pane xSplit="4" ySplit="3" topLeftCell="L2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28" sqref="M28"/>
    </sheetView>
  </sheetViews>
  <sheetFormatPr defaultColWidth="9.140625" defaultRowHeight="12"/>
  <cols>
    <col min="1" max="1" width="5.421875" style="1" customWidth="1"/>
    <col min="2" max="2" width="6.28125" style="1" customWidth="1"/>
    <col min="3" max="3" width="17.7109375" style="1" customWidth="1"/>
    <col min="4" max="4" width="20.57421875" style="1" hidden="1" customWidth="1"/>
    <col min="5" max="11" width="9.28125" style="2" hidden="1" customWidth="1"/>
    <col min="12" max="17" width="17.8515625" style="3" customWidth="1"/>
    <col min="18" max="18" width="17.7109375" style="22" customWidth="1"/>
    <col min="19" max="16384" width="9.140625" style="1" customWidth="1"/>
  </cols>
  <sheetData>
    <row r="1" spans="1:18" s="4" customFormat="1" ht="46.5" customHeight="1">
      <c r="A1" s="158" t="s">
        <v>300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s="10" customFormat="1" ht="18.75" customHeight="1">
      <c r="A2" s="153" t="s">
        <v>129</v>
      </c>
      <c r="B2" s="153" t="s">
        <v>130</v>
      </c>
      <c r="C2" s="153"/>
      <c r="D2" s="153" t="s">
        <v>22</v>
      </c>
      <c r="E2" s="138" t="s">
        <v>136</v>
      </c>
      <c r="F2" s="138"/>
      <c r="G2" s="138"/>
      <c r="H2" s="138"/>
      <c r="I2" s="138"/>
      <c r="J2" s="138"/>
      <c r="K2" s="138"/>
      <c r="L2" s="138" t="s">
        <v>137</v>
      </c>
      <c r="M2" s="138"/>
      <c r="N2" s="138"/>
      <c r="O2" s="138"/>
      <c r="P2" s="138"/>
      <c r="Q2" s="138"/>
      <c r="R2" s="153" t="s">
        <v>99</v>
      </c>
    </row>
    <row r="3" spans="1:18" s="13" customFormat="1" ht="66.75" customHeight="1">
      <c r="A3" s="153"/>
      <c r="B3" s="153"/>
      <c r="C3" s="153"/>
      <c r="D3" s="153"/>
      <c r="E3" s="11" t="s">
        <v>6</v>
      </c>
      <c r="F3" s="11" t="s">
        <v>133</v>
      </c>
      <c r="G3" s="11" t="s">
        <v>296</v>
      </c>
      <c r="H3" s="11" t="s">
        <v>135</v>
      </c>
      <c r="I3" s="11" t="s">
        <v>91</v>
      </c>
      <c r="J3" s="11" t="s">
        <v>23</v>
      </c>
      <c r="K3" s="11" t="s">
        <v>9</v>
      </c>
      <c r="L3" s="12" t="s">
        <v>298</v>
      </c>
      <c r="M3" s="12" t="s">
        <v>299</v>
      </c>
      <c r="N3" s="12" t="s">
        <v>297</v>
      </c>
      <c r="O3" s="12" t="s">
        <v>143</v>
      </c>
      <c r="P3" s="12" t="s">
        <v>139</v>
      </c>
      <c r="Q3" s="12" t="s">
        <v>140</v>
      </c>
      <c r="R3" s="153"/>
    </row>
    <row r="4" spans="1:18" s="13" customFormat="1" ht="55.5" customHeight="1">
      <c r="A4" s="153">
        <v>1</v>
      </c>
      <c r="B4" s="139" t="s">
        <v>92</v>
      </c>
      <c r="C4" s="7" t="s">
        <v>24</v>
      </c>
      <c r="D4" s="7" t="s">
        <v>17</v>
      </c>
      <c r="E4" s="11">
        <v>0.74</v>
      </c>
      <c r="F4" s="11">
        <v>0.74</v>
      </c>
      <c r="G4" s="11">
        <v>0.74</v>
      </c>
      <c r="H4" s="11">
        <v>0.74</v>
      </c>
      <c r="I4" s="11">
        <v>0.74</v>
      </c>
      <c r="J4" s="11">
        <v>0.76</v>
      </c>
      <c r="K4" s="11">
        <v>0.8</v>
      </c>
      <c r="L4" s="108">
        <f>42+2</f>
        <v>44</v>
      </c>
      <c r="M4" s="108">
        <f>57+10</f>
        <v>67</v>
      </c>
      <c r="N4" s="108">
        <f>44+2</f>
        <v>46</v>
      </c>
      <c r="O4" s="108">
        <f>61+10</f>
        <v>71</v>
      </c>
      <c r="P4" s="108">
        <f>80+10</f>
        <v>90</v>
      </c>
      <c r="Q4" s="108">
        <f>57+10</f>
        <v>67</v>
      </c>
      <c r="R4" s="35"/>
    </row>
    <row r="5" spans="1:18" s="13" customFormat="1" ht="56.25" customHeight="1">
      <c r="A5" s="153"/>
      <c r="B5" s="139"/>
      <c r="C5" s="7" t="s">
        <v>26</v>
      </c>
      <c r="D5" s="7" t="s">
        <v>17</v>
      </c>
      <c r="E5" s="11">
        <v>0.68</v>
      </c>
      <c r="F5" s="11">
        <v>0.68</v>
      </c>
      <c r="G5" s="11">
        <v>0.68</v>
      </c>
      <c r="H5" s="11">
        <v>0.68</v>
      </c>
      <c r="I5" s="11">
        <v>0.68</v>
      </c>
      <c r="J5" s="11">
        <v>0.7</v>
      </c>
      <c r="K5" s="11">
        <v>0.74</v>
      </c>
      <c r="L5" s="108">
        <f>39+2</f>
        <v>41</v>
      </c>
      <c r="M5" s="108">
        <f>52+10</f>
        <v>62</v>
      </c>
      <c r="N5" s="108">
        <f>41+2</f>
        <v>43</v>
      </c>
      <c r="O5" s="108">
        <f>56+10</f>
        <v>66</v>
      </c>
      <c r="P5" s="108">
        <f>74+10</f>
        <v>84</v>
      </c>
      <c r="Q5" s="108">
        <f>53+10</f>
        <v>63</v>
      </c>
      <c r="R5" s="23"/>
    </row>
    <row r="6" spans="1:18" s="13" customFormat="1" ht="41.25" customHeight="1">
      <c r="A6" s="153"/>
      <c r="B6" s="139"/>
      <c r="C6" s="7" t="s">
        <v>27</v>
      </c>
      <c r="D6" s="7" t="s">
        <v>17</v>
      </c>
      <c r="E6" s="11">
        <v>0.61</v>
      </c>
      <c r="F6" s="11">
        <v>0.61</v>
      </c>
      <c r="G6" s="11">
        <v>0.61</v>
      </c>
      <c r="H6" s="11">
        <v>0.61</v>
      </c>
      <c r="I6" s="11">
        <v>0.61</v>
      </c>
      <c r="J6" s="11">
        <v>0.62</v>
      </c>
      <c r="K6" s="11">
        <v>0.66</v>
      </c>
      <c r="L6" s="108">
        <f>35+3</f>
        <v>38</v>
      </c>
      <c r="M6" s="108">
        <f>47+10</f>
        <v>57</v>
      </c>
      <c r="N6" s="108">
        <f>36+3</f>
        <v>39</v>
      </c>
      <c r="O6" s="108">
        <f>50+10</f>
        <v>60</v>
      </c>
      <c r="P6" s="108">
        <f>66+10</f>
        <v>76</v>
      </c>
      <c r="Q6" s="108">
        <f>47+10</f>
        <v>57</v>
      </c>
      <c r="R6" s="23"/>
    </row>
    <row r="7" spans="1:18" s="13" customFormat="1" ht="24.75" customHeight="1">
      <c r="A7" s="153">
        <v>2</v>
      </c>
      <c r="B7" s="139" t="s">
        <v>121</v>
      </c>
      <c r="C7" s="7" t="s">
        <v>235</v>
      </c>
      <c r="D7" s="7" t="s">
        <v>29</v>
      </c>
      <c r="E7" s="11">
        <v>0.6066</v>
      </c>
      <c r="F7" s="11">
        <v>0.6066</v>
      </c>
      <c r="G7" s="11">
        <v>0.6066</v>
      </c>
      <c r="H7" s="11">
        <v>0.6066</v>
      </c>
      <c r="I7" s="11">
        <v>0.6066</v>
      </c>
      <c r="J7" s="11">
        <v>0.5576</v>
      </c>
      <c r="K7" s="11">
        <v>0.632</v>
      </c>
      <c r="L7" s="106">
        <v>40.5</v>
      </c>
      <c r="M7" s="106">
        <v>61.25</v>
      </c>
      <c r="N7" s="106">
        <v>40.5</v>
      </c>
      <c r="O7" s="106">
        <v>63</v>
      </c>
      <c r="P7" s="106">
        <v>66.6</v>
      </c>
      <c r="Q7" s="106">
        <v>61.2</v>
      </c>
      <c r="R7" s="23"/>
    </row>
    <row r="8" spans="1:18" s="13" customFormat="1" ht="24.75" customHeight="1">
      <c r="A8" s="153"/>
      <c r="B8" s="139"/>
      <c r="C8" s="7" t="s">
        <v>185</v>
      </c>
      <c r="D8" s="7"/>
      <c r="E8" s="11">
        <v>0.6134</v>
      </c>
      <c r="F8" s="11">
        <v>0.6134</v>
      </c>
      <c r="G8" s="11">
        <v>0.6134</v>
      </c>
      <c r="H8" s="11">
        <v>0.6134</v>
      </c>
      <c r="I8" s="11">
        <v>0.6134</v>
      </c>
      <c r="J8" s="11">
        <v>0.553</v>
      </c>
      <c r="K8" s="11">
        <v>0.62</v>
      </c>
      <c r="L8" s="106">
        <v>40</v>
      </c>
      <c r="M8" s="106">
        <v>61.74</v>
      </c>
      <c r="N8" s="106">
        <v>40</v>
      </c>
      <c r="O8" s="106">
        <v>56.7</v>
      </c>
      <c r="P8" s="106">
        <v>66.6</v>
      </c>
      <c r="Q8" s="106">
        <v>60.2</v>
      </c>
      <c r="R8" s="23"/>
    </row>
    <row r="9" spans="1:18" s="13" customFormat="1" ht="24.75" customHeight="1">
      <c r="A9" s="153"/>
      <c r="B9" s="139"/>
      <c r="C9" s="7" t="s">
        <v>186</v>
      </c>
      <c r="D9" s="7"/>
      <c r="E9" s="11">
        <v>0.5574</v>
      </c>
      <c r="F9" s="11">
        <v>0.5574</v>
      </c>
      <c r="G9" s="11">
        <v>0.5574</v>
      </c>
      <c r="H9" s="11">
        <v>0.5574</v>
      </c>
      <c r="I9" s="11">
        <v>0.5574</v>
      </c>
      <c r="J9" s="11">
        <v>0.5383</v>
      </c>
      <c r="K9" s="11">
        <v>0.5472</v>
      </c>
      <c r="L9" s="106">
        <v>37</v>
      </c>
      <c r="M9" s="106">
        <v>60.9</v>
      </c>
      <c r="N9" s="106">
        <v>37</v>
      </c>
      <c r="O9" s="106">
        <v>56.88</v>
      </c>
      <c r="P9" s="106">
        <v>63.99</v>
      </c>
      <c r="Q9" s="106">
        <v>52.62</v>
      </c>
      <c r="R9" s="23"/>
    </row>
    <row r="10" spans="1:18" s="13" customFormat="1" ht="24.75" customHeight="1">
      <c r="A10" s="153"/>
      <c r="B10" s="139"/>
      <c r="C10" s="7" t="s">
        <v>187</v>
      </c>
      <c r="D10" s="7"/>
      <c r="E10" s="11">
        <v>0.516</v>
      </c>
      <c r="F10" s="11">
        <v>0.516</v>
      </c>
      <c r="G10" s="11">
        <v>0.516</v>
      </c>
      <c r="H10" s="11">
        <v>0.516</v>
      </c>
      <c r="I10" s="11">
        <v>0.516</v>
      </c>
      <c r="J10" s="11">
        <v>0.5424</v>
      </c>
      <c r="K10" s="11">
        <v>0.536</v>
      </c>
      <c r="L10" s="106">
        <v>36</v>
      </c>
      <c r="M10" s="106">
        <v>60.8</v>
      </c>
      <c r="N10" s="106">
        <v>36</v>
      </c>
      <c r="O10" s="106">
        <v>55.1</v>
      </c>
      <c r="P10" s="106">
        <v>61.2</v>
      </c>
      <c r="Q10" s="106">
        <v>53.6</v>
      </c>
      <c r="R10" s="23"/>
    </row>
    <row r="11" spans="1:18" s="13" customFormat="1" ht="24.75" customHeight="1">
      <c r="A11" s="153"/>
      <c r="B11" s="139"/>
      <c r="C11" s="7" t="s">
        <v>188</v>
      </c>
      <c r="D11" s="7"/>
      <c r="E11" s="11">
        <v>0.586</v>
      </c>
      <c r="F11" s="11">
        <v>0.586</v>
      </c>
      <c r="G11" s="11">
        <v>0.586</v>
      </c>
      <c r="H11" s="11">
        <v>0.586</v>
      </c>
      <c r="I11" s="11">
        <v>0.586</v>
      </c>
      <c r="J11" s="11">
        <v>0.4921</v>
      </c>
      <c r="K11" s="11">
        <v>0.52</v>
      </c>
      <c r="L11" s="106">
        <v>38.97</v>
      </c>
      <c r="M11" s="106">
        <v>60.7</v>
      </c>
      <c r="N11" s="106">
        <v>38.97</v>
      </c>
      <c r="O11" s="106">
        <v>53</v>
      </c>
      <c r="P11" s="106">
        <v>62</v>
      </c>
      <c r="Q11" s="106">
        <v>51</v>
      </c>
      <c r="R11" s="23"/>
    </row>
    <row r="12" spans="1:18" s="13" customFormat="1" ht="24.75" customHeight="1">
      <c r="A12" s="153"/>
      <c r="B12" s="139"/>
      <c r="C12" s="7" t="s">
        <v>189</v>
      </c>
      <c r="D12" s="7"/>
      <c r="E12" s="11">
        <v>0.5347</v>
      </c>
      <c r="F12" s="11">
        <v>0.5347</v>
      </c>
      <c r="G12" s="11">
        <v>0.5347</v>
      </c>
      <c r="H12" s="11">
        <v>0.5347</v>
      </c>
      <c r="I12" s="11">
        <v>0.5347</v>
      </c>
      <c r="J12" s="11">
        <v>0.5373</v>
      </c>
      <c r="K12" s="11">
        <v>0.512</v>
      </c>
      <c r="L12" s="106">
        <v>38.7</v>
      </c>
      <c r="M12" s="106">
        <v>59</v>
      </c>
      <c r="N12" s="106">
        <v>38.7</v>
      </c>
      <c r="O12" s="106">
        <v>54.4</v>
      </c>
      <c r="P12" s="106">
        <v>62.7</v>
      </c>
      <c r="Q12" s="106">
        <v>53.2</v>
      </c>
      <c r="R12" s="23"/>
    </row>
    <row r="13" spans="1:18" s="13" customFormat="1" ht="24.75" customHeight="1">
      <c r="A13" s="153"/>
      <c r="B13" s="139"/>
      <c r="C13" s="7" t="s">
        <v>190</v>
      </c>
      <c r="D13" s="7"/>
      <c r="E13" s="11">
        <v>0.5996</v>
      </c>
      <c r="F13" s="11">
        <v>0.5996</v>
      </c>
      <c r="G13" s="11">
        <v>0.5996</v>
      </c>
      <c r="H13" s="11">
        <v>0.5996</v>
      </c>
      <c r="I13" s="11">
        <v>0.5996</v>
      </c>
      <c r="J13" s="11">
        <v>0.5022</v>
      </c>
      <c r="K13" s="11">
        <v>0.576</v>
      </c>
      <c r="L13" s="106">
        <v>42</v>
      </c>
      <c r="M13" s="106">
        <v>60</v>
      </c>
      <c r="N13" s="106">
        <v>42</v>
      </c>
      <c r="O13" s="106">
        <v>59.5</v>
      </c>
      <c r="P13" s="106">
        <v>65</v>
      </c>
      <c r="Q13" s="106">
        <v>61</v>
      </c>
      <c r="R13" s="23"/>
    </row>
    <row r="14" spans="1:18" s="13" customFormat="1" ht="24.75" customHeight="1">
      <c r="A14" s="153"/>
      <c r="B14" s="139"/>
      <c r="C14" s="7" t="s">
        <v>191</v>
      </c>
      <c r="D14" s="7"/>
      <c r="E14" s="11"/>
      <c r="F14" s="11"/>
      <c r="G14" s="11"/>
      <c r="H14" s="11"/>
      <c r="I14" s="11"/>
      <c r="J14" s="11"/>
      <c r="K14" s="11"/>
      <c r="L14" s="106"/>
      <c r="M14" s="106"/>
      <c r="N14" s="106"/>
      <c r="O14" s="106"/>
      <c r="P14" s="106"/>
      <c r="Q14" s="106"/>
      <c r="R14" s="23"/>
    </row>
    <row r="15" spans="1:18" s="13" customFormat="1" ht="27.75" customHeight="1">
      <c r="A15" s="7">
        <v>3</v>
      </c>
      <c r="B15" s="140" t="s">
        <v>37</v>
      </c>
      <c r="C15" s="141"/>
      <c r="D15" s="7" t="s">
        <v>38</v>
      </c>
      <c r="E15" s="109">
        <v>0.61</v>
      </c>
      <c r="F15" s="109">
        <v>0.61</v>
      </c>
      <c r="G15" s="109">
        <v>0.61</v>
      </c>
      <c r="H15" s="109">
        <v>0.61</v>
      </c>
      <c r="I15" s="109">
        <v>0.61</v>
      </c>
      <c r="J15" s="109">
        <f>68.93%-0.25+0.1</f>
        <v>0.5393</v>
      </c>
      <c r="K15" s="109">
        <f>80%-0.3+0.1</f>
        <v>0.6</v>
      </c>
      <c r="L15" s="106">
        <v>41</v>
      </c>
      <c r="M15" s="106">
        <v>60</v>
      </c>
      <c r="N15" s="106">
        <v>41</v>
      </c>
      <c r="O15" s="106">
        <v>65</v>
      </c>
      <c r="P15" s="106">
        <v>70</v>
      </c>
      <c r="Q15" s="106">
        <v>60</v>
      </c>
      <c r="R15" s="23" t="s">
        <v>256</v>
      </c>
    </row>
    <row r="16" spans="1:18" s="13" customFormat="1" ht="27.75" customHeight="1">
      <c r="A16" s="7">
        <v>4</v>
      </c>
      <c r="B16" s="140" t="s">
        <v>100</v>
      </c>
      <c r="C16" s="141"/>
      <c r="D16" s="7"/>
      <c r="E16" s="11">
        <v>0.5642</v>
      </c>
      <c r="F16" s="11">
        <v>0.5642</v>
      </c>
      <c r="G16" s="11">
        <v>0.5642</v>
      </c>
      <c r="H16" s="11">
        <v>0.5642</v>
      </c>
      <c r="I16" s="11">
        <v>0.5642</v>
      </c>
      <c r="J16" s="11">
        <v>0.4564</v>
      </c>
      <c r="K16" s="11">
        <v>0.5389</v>
      </c>
      <c r="L16" s="110">
        <v>38.1</v>
      </c>
      <c r="M16" s="110">
        <v>54.4</v>
      </c>
      <c r="N16" s="110">
        <v>35.9</v>
      </c>
      <c r="O16" s="110">
        <v>49</v>
      </c>
      <c r="P16" s="110">
        <v>68.7</v>
      </c>
      <c r="Q16" s="110">
        <v>52.5</v>
      </c>
      <c r="R16" s="23"/>
    </row>
    <row r="17" spans="1:18" s="13" customFormat="1" ht="27.75" customHeight="1">
      <c r="A17" s="7">
        <v>5</v>
      </c>
      <c r="B17" s="140" t="s">
        <v>43</v>
      </c>
      <c r="C17" s="141"/>
      <c r="D17" s="7" t="s">
        <v>44</v>
      </c>
      <c r="E17" s="11">
        <v>0.4349</v>
      </c>
      <c r="F17" s="11">
        <f>53.49%-0.1</f>
        <v>0.43490000000000006</v>
      </c>
      <c r="G17" s="11">
        <f>53.49%-0.1</f>
        <v>0.43490000000000006</v>
      </c>
      <c r="H17" s="11">
        <f>53.49%-0.1</f>
        <v>0.43490000000000006</v>
      </c>
      <c r="I17" s="11">
        <f>53.49%-0.1</f>
        <v>0.43490000000000006</v>
      </c>
      <c r="J17" s="11">
        <f>55.25%-0.1</f>
        <v>0.4525</v>
      </c>
      <c r="K17" s="11">
        <f>51.8%-0.1</f>
        <v>0.41800000000000004</v>
      </c>
      <c r="L17" s="110">
        <f>30.49+5</f>
        <v>35.489999999999995</v>
      </c>
      <c r="M17" s="106">
        <v>45.19</v>
      </c>
      <c r="N17" s="106">
        <v>33.81</v>
      </c>
      <c r="O17" s="106">
        <v>53.79</v>
      </c>
      <c r="P17" s="106">
        <v>62.37</v>
      </c>
      <c r="Q17" s="106">
        <v>44.2</v>
      </c>
      <c r="R17" s="23"/>
    </row>
    <row r="18" spans="1:18" s="13" customFormat="1" ht="27.75" customHeight="1">
      <c r="A18" s="154">
        <v>6</v>
      </c>
      <c r="B18" s="154" t="s">
        <v>47</v>
      </c>
      <c r="C18" s="7" t="s">
        <v>148</v>
      </c>
      <c r="D18" s="7" t="s">
        <v>48</v>
      </c>
      <c r="E18" s="11">
        <v>0.3448</v>
      </c>
      <c r="F18" s="11">
        <v>0.3448</v>
      </c>
      <c r="G18" s="11">
        <v>0.3448</v>
      </c>
      <c r="H18" s="11">
        <v>0.3448</v>
      </c>
      <c r="I18" s="11">
        <v>0.3448</v>
      </c>
      <c r="J18" s="11">
        <v>0.3146</v>
      </c>
      <c r="K18" s="11">
        <v>0.3453</v>
      </c>
      <c r="L18" s="110">
        <f>39-4</f>
        <v>35</v>
      </c>
      <c r="M18" s="106">
        <v>50</v>
      </c>
      <c r="N18" s="110">
        <f>39-4</f>
        <v>35</v>
      </c>
      <c r="O18" s="106">
        <v>51</v>
      </c>
      <c r="P18" s="106">
        <v>58</v>
      </c>
      <c r="Q18" s="106">
        <v>50</v>
      </c>
      <c r="R18" s="23"/>
    </row>
    <row r="19" spans="1:18" s="13" customFormat="1" ht="27.75" customHeight="1">
      <c r="A19" s="163"/>
      <c r="B19" s="163"/>
      <c r="C19" s="7" t="s">
        <v>149</v>
      </c>
      <c r="D19" s="7"/>
      <c r="E19" s="11">
        <v>0.3368</v>
      </c>
      <c r="F19" s="11">
        <v>0.3368</v>
      </c>
      <c r="G19" s="11">
        <v>0.3368</v>
      </c>
      <c r="H19" s="11">
        <v>0.3368</v>
      </c>
      <c r="I19" s="11">
        <v>0.3368</v>
      </c>
      <c r="J19" s="11">
        <v>0.3015</v>
      </c>
      <c r="K19" s="11">
        <v>0.3465</v>
      </c>
      <c r="L19" s="110">
        <f>39-4</f>
        <v>35</v>
      </c>
      <c r="M19" s="106">
        <v>50</v>
      </c>
      <c r="N19" s="110">
        <f>39-4</f>
        <v>35</v>
      </c>
      <c r="O19" s="106">
        <v>51</v>
      </c>
      <c r="P19" s="106">
        <v>58</v>
      </c>
      <c r="Q19" s="106">
        <v>50</v>
      </c>
      <c r="R19" s="23"/>
    </row>
    <row r="20" spans="1:18" s="13" customFormat="1" ht="27.75" customHeight="1">
      <c r="A20" s="163"/>
      <c r="B20" s="163"/>
      <c r="C20" s="7" t="s">
        <v>150</v>
      </c>
      <c r="D20" s="7"/>
      <c r="E20" s="11">
        <v>0.3303</v>
      </c>
      <c r="F20" s="11">
        <v>0.3303</v>
      </c>
      <c r="G20" s="11">
        <v>0.3303</v>
      </c>
      <c r="H20" s="11">
        <v>0.3303</v>
      </c>
      <c r="I20" s="11">
        <v>0.3303</v>
      </c>
      <c r="J20" s="11">
        <v>0.2937</v>
      </c>
      <c r="K20" s="11">
        <v>0.3359</v>
      </c>
      <c r="L20" s="110">
        <f>38.5-4</f>
        <v>34.5</v>
      </c>
      <c r="M20" s="106">
        <v>49.5</v>
      </c>
      <c r="N20" s="110">
        <f>38.5-4</f>
        <v>34.5</v>
      </c>
      <c r="O20" s="106">
        <v>50.5</v>
      </c>
      <c r="P20" s="106">
        <v>57.5</v>
      </c>
      <c r="Q20" s="106">
        <v>49.5</v>
      </c>
      <c r="R20" s="23"/>
    </row>
    <row r="21" spans="1:18" s="13" customFormat="1" ht="27.75" customHeight="1">
      <c r="A21" s="155"/>
      <c r="B21" s="155"/>
      <c r="C21" s="7" t="s">
        <v>151</v>
      </c>
      <c r="D21" s="7"/>
      <c r="E21" s="11">
        <v>0.3235</v>
      </c>
      <c r="F21" s="11">
        <v>0.3235</v>
      </c>
      <c r="G21" s="11">
        <v>0.3235</v>
      </c>
      <c r="H21" s="11">
        <v>0.3235</v>
      </c>
      <c r="I21" s="11">
        <v>0.3235</v>
      </c>
      <c r="J21" s="11">
        <v>0.2893</v>
      </c>
      <c r="K21" s="11">
        <v>0.3329</v>
      </c>
      <c r="L21" s="110">
        <f>38-4</f>
        <v>34</v>
      </c>
      <c r="M21" s="106">
        <v>49</v>
      </c>
      <c r="N21" s="110">
        <f>38-4</f>
        <v>34</v>
      </c>
      <c r="O21" s="106">
        <v>50</v>
      </c>
      <c r="P21" s="106">
        <v>57</v>
      </c>
      <c r="Q21" s="106">
        <v>49</v>
      </c>
      <c r="R21" s="23"/>
    </row>
    <row r="22" spans="1:18" s="13" customFormat="1" ht="27.75" customHeight="1">
      <c r="A22" s="7">
        <v>7</v>
      </c>
      <c r="B22" s="140" t="s">
        <v>56</v>
      </c>
      <c r="C22" s="141"/>
      <c r="D22" s="7" t="s">
        <v>57</v>
      </c>
      <c r="E22" s="11">
        <v>0.6252</v>
      </c>
      <c r="F22" s="11">
        <v>0.6252</v>
      </c>
      <c r="G22" s="11">
        <v>0.6252</v>
      </c>
      <c r="H22" s="11">
        <v>0.6252</v>
      </c>
      <c r="I22" s="11">
        <v>0.6252</v>
      </c>
      <c r="J22" s="11">
        <v>0.413</v>
      </c>
      <c r="K22" s="11">
        <v>0.5356</v>
      </c>
      <c r="L22" s="106">
        <f>30.96+10</f>
        <v>40.96</v>
      </c>
      <c r="M22" s="110">
        <f>47.85+10</f>
        <v>57.85</v>
      </c>
      <c r="N22" s="110">
        <f>30.96+10</f>
        <v>40.96</v>
      </c>
      <c r="O22" s="106">
        <v>49.84</v>
      </c>
      <c r="P22" s="110">
        <f>55.79+5</f>
        <v>60.79</v>
      </c>
      <c r="Q22" s="106">
        <v>44.64</v>
      </c>
      <c r="R22" s="23"/>
    </row>
    <row r="23" spans="1:18" s="13" customFormat="1" ht="27.75" customHeight="1">
      <c r="A23" s="153">
        <v>8</v>
      </c>
      <c r="B23" s="139" t="s">
        <v>122</v>
      </c>
      <c r="C23" s="7" t="s">
        <v>93</v>
      </c>
      <c r="D23" s="7" t="s">
        <v>60</v>
      </c>
      <c r="E23" s="11"/>
      <c r="F23" s="109">
        <f>98.04%-0.18</f>
        <v>0.8004</v>
      </c>
      <c r="G23" s="109">
        <f>98.04%-0.18</f>
        <v>0.8004</v>
      </c>
      <c r="H23" s="11"/>
      <c r="I23" s="11"/>
      <c r="J23" s="11"/>
      <c r="K23" s="11"/>
      <c r="L23" s="106">
        <v>44.5</v>
      </c>
      <c r="M23" s="106">
        <v>54.25</v>
      </c>
      <c r="N23" s="106"/>
      <c r="O23" s="106"/>
      <c r="P23" s="106"/>
      <c r="Q23" s="106"/>
      <c r="R23" s="142" t="s">
        <v>301</v>
      </c>
    </row>
    <row r="24" spans="1:18" s="13" customFormat="1" ht="27.75" customHeight="1">
      <c r="A24" s="153"/>
      <c r="B24" s="139"/>
      <c r="C24" s="7" t="s">
        <v>94</v>
      </c>
      <c r="D24" s="7"/>
      <c r="E24" s="11"/>
      <c r="F24" s="109">
        <f>93.73%-0.2</f>
        <v>0.7373000000000001</v>
      </c>
      <c r="G24" s="109">
        <f>93.73%-0.2</f>
        <v>0.7373000000000001</v>
      </c>
      <c r="H24" s="11"/>
      <c r="I24" s="11"/>
      <c r="J24" s="11"/>
      <c r="K24" s="11"/>
      <c r="L24" s="106">
        <v>43.5</v>
      </c>
      <c r="M24" s="106">
        <v>53.25</v>
      </c>
      <c r="N24" s="106"/>
      <c r="O24" s="106"/>
      <c r="P24" s="106"/>
      <c r="Q24" s="106"/>
      <c r="R24" s="142"/>
    </row>
    <row r="25" spans="1:18" s="13" customFormat="1" ht="27.75" customHeight="1">
      <c r="A25" s="153"/>
      <c r="B25" s="139"/>
      <c r="C25" s="7" t="s">
        <v>95</v>
      </c>
      <c r="D25" s="7"/>
      <c r="E25" s="11"/>
      <c r="F25" s="109">
        <f>85.11%-0.16</f>
        <v>0.6910999999999999</v>
      </c>
      <c r="G25" s="109">
        <f>85.11%-0.16</f>
        <v>0.6910999999999999</v>
      </c>
      <c r="H25" s="11"/>
      <c r="I25" s="11"/>
      <c r="J25" s="11"/>
      <c r="K25" s="11"/>
      <c r="L25" s="106">
        <v>41.5</v>
      </c>
      <c r="M25" s="106">
        <v>51.25</v>
      </c>
      <c r="N25" s="106"/>
      <c r="O25" s="106"/>
      <c r="P25" s="106"/>
      <c r="Q25" s="106"/>
      <c r="R25" s="142"/>
    </row>
    <row r="26" spans="1:18" s="13" customFormat="1" ht="27.75" customHeight="1">
      <c r="A26" s="153"/>
      <c r="B26" s="139"/>
      <c r="C26" s="7" t="s">
        <v>96</v>
      </c>
      <c r="D26" s="7"/>
      <c r="E26" s="11"/>
      <c r="F26" s="109">
        <f>93.73%-0.2</f>
        <v>0.7373000000000001</v>
      </c>
      <c r="G26" s="109">
        <f>93.73%-0.2</f>
        <v>0.7373000000000001</v>
      </c>
      <c r="H26" s="11"/>
      <c r="I26" s="11"/>
      <c r="J26" s="11"/>
      <c r="K26" s="11"/>
      <c r="L26" s="106">
        <v>43.5</v>
      </c>
      <c r="M26" s="106">
        <v>53.25</v>
      </c>
      <c r="N26" s="106"/>
      <c r="O26" s="106"/>
      <c r="P26" s="106"/>
      <c r="Q26" s="106"/>
      <c r="R26" s="142"/>
    </row>
    <row r="27" spans="1:18" s="13" customFormat="1" ht="27.75" customHeight="1">
      <c r="A27" s="153"/>
      <c r="B27" s="139"/>
      <c r="C27" s="7" t="s">
        <v>97</v>
      </c>
      <c r="D27" s="7"/>
      <c r="E27" s="11"/>
      <c r="F27" s="109">
        <f>89.42%-0.18</f>
        <v>0.7142</v>
      </c>
      <c r="G27" s="109">
        <f>89.42%-0.18</f>
        <v>0.7142</v>
      </c>
      <c r="H27" s="11"/>
      <c r="I27" s="11"/>
      <c r="J27" s="11"/>
      <c r="K27" s="11"/>
      <c r="L27" s="106">
        <v>42.5</v>
      </c>
      <c r="M27" s="106">
        <v>52.25</v>
      </c>
      <c r="N27" s="106"/>
      <c r="O27" s="106"/>
      <c r="P27" s="106"/>
      <c r="Q27" s="106"/>
      <c r="R27" s="142"/>
    </row>
    <row r="28" spans="1:18" s="13" customFormat="1" ht="27.75" customHeight="1">
      <c r="A28" s="153"/>
      <c r="B28" s="139"/>
      <c r="C28" s="7" t="s">
        <v>98</v>
      </c>
      <c r="D28" s="7"/>
      <c r="E28" s="11"/>
      <c r="F28" s="109">
        <f>89.42%-0.18</f>
        <v>0.7142</v>
      </c>
      <c r="G28" s="109">
        <f>89.42%-0.18</f>
        <v>0.7142</v>
      </c>
      <c r="H28" s="11"/>
      <c r="I28" s="11"/>
      <c r="J28" s="11"/>
      <c r="K28" s="11"/>
      <c r="L28" s="106">
        <v>42.5</v>
      </c>
      <c r="M28" s="106">
        <v>52.25</v>
      </c>
      <c r="N28" s="106"/>
      <c r="O28" s="106"/>
      <c r="P28" s="106"/>
      <c r="Q28" s="106"/>
      <c r="R28" s="142"/>
    </row>
    <row r="29" spans="1:18" s="13" customFormat="1" ht="29.25" customHeight="1">
      <c r="A29" s="153">
        <v>9</v>
      </c>
      <c r="B29" s="139" t="s">
        <v>65</v>
      </c>
      <c r="C29" s="7" t="s">
        <v>124</v>
      </c>
      <c r="D29" s="7" t="s">
        <v>66</v>
      </c>
      <c r="E29" s="11">
        <v>0.3513</v>
      </c>
      <c r="F29" s="11">
        <v>0.3513</v>
      </c>
      <c r="G29" s="11">
        <v>0.3513</v>
      </c>
      <c r="H29" s="11">
        <v>0.3513</v>
      </c>
      <c r="I29" s="11">
        <v>0.3513</v>
      </c>
      <c r="J29" s="11">
        <v>0.1817</v>
      </c>
      <c r="K29" s="11">
        <v>0.392</v>
      </c>
      <c r="L29" s="111">
        <f>29.35+5</f>
        <v>34.35</v>
      </c>
      <c r="M29" s="111">
        <f>39.85+5</f>
        <v>44.85</v>
      </c>
      <c r="N29" s="111">
        <f>29.35+5</f>
        <v>34.35</v>
      </c>
      <c r="O29" s="111">
        <f>41.1+5</f>
        <v>46.1</v>
      </c>
      <c r="P29" s="111">
        <f>50.75+5</f>
        <v>55.75</v>
      </c>
      <c r="Q29" s="111">
        <f>41.05+5</f>
        <v>46.05</v>
      </c>
      <c r="R29" s="23"/>
    </row>
    <row r="30" spans="1:18" s="13" customFormat="1" ht="29.25" customHeight="1">
      <c r="A30" s="153"/>
      <c r="B30" s="139"/>
      <c r="C30" s="7" t="s">
        <v>125</v>
      </c>
      <c r="D30" s="7"/>
      <c r="E30" s="11">
        <v>0.26</v>
      </c>
      <c r="F30" s="11">
        <v>0.26</v>
      </c>
      <c r="G30" s="11">
        <v>0.26</v>
      </c>
      <c r="H30" s="11">
        <v>0.26</v>
      </c>
      <c r="I30" s="11">
        <v>0.26</v>
      </c>
      <c r="J30" s="11">
        <v>0.1356</v>
      </c>
      <c r="K30" s="11">
        <v>0.3152</v>
      </c>
      <c r="L30" s="111">
        <f>25.5+5</f>
        <v>30.5</v>
      </c>
      <c r="M30" s="111">
        <f>38.75+5</f>
        <v>43.75</v>
      </c>
      <c r="N30" s="111">
        <f>25.5+5</f>
        <v>30.5</v>
      </c>
      <c r="O30" s="111">
        <f>41.42+5</f>
        <v>46.42</v>
      </c>
      <c r="P30" s="111">
        <f>48.65+5</f>
        <v>53.65</v>
      </c>
      <c r="Q30" s="111">
        <f>39.13+5</f>
        <v>44.13</v>
      </c>
      <c r="R30" s="23"/>
    </row>
    <row r="31" spans="1:18" s="13" customFormat="1" ht="29.25" customHeight="1">
      <c r="A31" s="153"/>
      <c r="B31" s="139"/>
      <c r="C31" s="7" t="s">
        <v>126</v>
      </c>
      <c r="D31" s="7"/>
      <c r="E31" s="11">
        <v>0.2765</v>
      </c>
      <c r="F31" s="11">
        <v>0.2765</v>
      </c>
      <c r="G31" s="11">
        <v>0.2765</v>
      </c>
      <c r="H31" s="11">
        <v>0.2765</v>
      </c>
      <c r="I31" s="11">
        <v>0.2765</v>
      </c>
      <c r="J31" s="11">
        <v>0.1432</v>
      </c>
      <c r="K31" s="11">
        <v>0.308</v>
      </c>
      <c r="L31" s="111">
        <f>25.5+5</f>
        <v>30.5</v>
      </c>
      <c r="M31" s="111">
        <f>38.85+5</f>
        <v>43.85</v>
      </c>
      <c r="N31" s="111">
        <f>25.5+5</f>
        <v>30.5</v>
      </c>
      <c r="O31" s="111">
        <f>41.67+5</f>
        <v>46.67</v>
      </c>
      <c r="P31" s="111">
        <f>48.95+5</f>
        <v>53.95</v>
      </c>
      <c r="Q31" s="111">
        <f>38.95+5</f>
        <v>43.95</v>
      </c>
      <c r="R31" s="23"/>
    </row>
    <row r="32" spans="1:18" s="13" customFormat="1" ht="29.25" customHeight="1">
      <c r="A32" s="153"/>
      <c r="B32" s="139"/>
      <c r="C32" s="7" t="s">
        <v>127</v>
      </c>
      <c r="D32" s="7"/>
      <c r="E32" s="11">
        <v>0.4384</v>
      </c>
      <c r="F32" s="11">
        <v>0.4384</v>
      </c>
      <c r="G32" s="11">
        <v>0.4384</v>
      </c>
      <c r="H32" s="11">
        <v>0.4384</v>
      </c>
      <c r="I32" s="11">
        <v>0.4384</v>
      </c>
      <c r="J32" s="11">
        <v>0.1387</v>
      </c>
      <c r="K32" s="11">
        <v>0.44</v>
      </c>
      <c r="L32" s="111">
        <f>29.7+5</f>
        <v>34.7</v>
      </c>
      <c r="M32" s="111">
        <f>42.45+5</f>
        <v>47.45</v>
      </c>
      <c r="N32" s="111">
        <f>29.7+5</f>
        <v>34.7</v>
      </c>
      <c r="O32" s="111">
        <f>40.38+5</f>
        <v>45.38</v>
      </c>
      <c r="P32" s="111">
        <f>49.85+5</f>
        <v>54.85</v>
      </c>
      <c r="Q32" s="111">
        <f>42.25+5</f>
        <v>47.25</v>
      </c>
      <c r="R32" s="23"/>
    </row>
    <row r="33" spans="1:18" s="13" customFormat="1" ht="29.25" customHeight="1">
      <c r="A33" s="153"/>
      <c r="B33" s="139"/>
      <c r="C33" s="7" t="s">
        <v>128</v>
      </c>
      <c r="D33" s="7"/>
      <c r="E33" s="11">
        <v>0.4583</v>
      </c>
      <c r="F33" s="11">
        <v>0.4583</v>
      </c>
      <c r="G33" s="11">
        <v>0.4583</v>
      </c>
      <c r="H33" s="11">
        <v>0.4583</v>
      </c>
      <c r="I33" s="11">
        <v>0.4583</v>
      </c>
      <c r="J33" s="11">
        <v>0.1337</v>
      </c>
      <c r="K33" s="11">
        <v>0.452</v>
      </c>
      <c r="L33" s="111">
        <f>30.05+5</f>
        <v>35.05</v>
      </c>
      <c r="M33" s="111">
        <f>42.95+5</f>
        <v>47.95</v>
      </c>
      <c r="N33" s="111">
        <f>30.05+5</f>
        <v>35.05</v>
      </c>
      <c r="O33" s="111">
        <f>40.14+5</f>
        <v>45.14</v>
      </c>
      <c r="P33" s="111">
        <f>49.55+5</f>
        <v>54.55</v>
      </c>
      <c r="Q33" s="111">
        <f>42.55+5</f>
        <v>47.55</v>
      </c>
      <c r="R33" s="23"/>
    </row>
    <row r="34" spans="1:18" s="13" customFormat="1" ht="29.25" customHeight="1">
      <c r="A34" s="153">
        <v>10</v>
      </c>
      <c r="B34" s="139" t="s">
        <v>123</v>
      </c>
      <c r="C34" s="7" t="s">
        <v>101</v>
      </c>
      <c r="D34" s="7" t="s">
        <v>69</v>
      </c>
      <c r="E34" s="11">
        <v>0.2523</v>
      </c>
      <c r="F34" s="11">
        <v>0.2523</v>
      </c>
      <c r="G34" s="11">
        <v>0.2523</v>
      </c>
      <c r="H34" s="11">
        <v>0.2523</v>
      </c>
      <c r="I34" s="11">
        <v>0.2523</v>
      </c>
      <c r="J34" s="11">
        <v>0.1423</v>
      </c>
      <c r="K34" s="11">
        <v>0.1724</v>
      </c>
      <c r="L34" s="110">
        <f>30.05+3</f>
        <v>33.05</v>
      </c>
      <c r="M34" s="110">
        <f>37.72+3</f>
        <v>40.72</v>
      </c>
      <c r="N34" s="110">
        <f>30.05+3</f>
        <v>33.05</v>
      </c>
      <c r="O34" s="110">
        <f>41.75+3</f>
        <v>44.75</v>
      </c>
      <c r="P34" s="110">
        <f>49.89+3</f>
        <v>52.89</v>
      </c>
      <c r="Q34" s="110">
        <f>36.47+3</f>
        <v>39.47</v>
      </c>
      <c r="R34" s="23" t="s">
        <v>179</v>
      </c>
    </row>
    <row r="35" spans="1:18" s="13" customFormat="1" ht="29.25" customHeight="1">
      <c r="A35" s="153"/>
      <c r="B35" s="139"/>
      <c r="C35" s="7" t="s">
        <v>102</v>
      </c>
      <c r="D35" s="7"/>
      <c r="E35" s="11">
        <v>0.2147</v>
      </c>
      <c r="F35" s="11">
        <v>0.2147</v>
      </c>
      <c r="G35" s="11">
        <v>0.2147</v>
      </c>
      <c r="H35" s="11">
        <v>0.2147</v>
      </c>
      <c r="I35" s="11">
        <v>0.2147</v>
      </c>
      <c r="J35" s="11">
        <v>0.1157</v>
      </c>
      <c r="K35" s="11">
        <v>0.184</v>
      </c>
      <c r="L35" s="110">
        <f>29+3</f>
        <v>32</v>
      </c>
      <c r="M35" s="110">
        <f>36.25+3</f>
        <v>39.25</v>
      </c>
      <c r="N35" s="110">
        <f>29+3</f>
        <v>32</v>
      </c>
      <c r="O35" s="110">
        <f>40.5+3</f>
        <v>43.5</v>
      </c>
      <c r="P35" s="110">
        <f>46.25+3</f>
        <v>49.25</v>
      </c>
      <c r="Q35" s="110">
        <f>35.85+3</f>
        <v>38.85</v>
      </c>
      <c r="R35" s="23" t="s">
        <v>180</v>
      </c>
    </row>
    <row r="36" spans="1:18" s="13" customFormat="1" ht="29.25" customHeight="1">
      <c r="A36" s="153"/>
      <c r="B36" s="139"/>
      <c r="C36" s="7" t="s">
        <v>103</v>
      </c>
      <c r="D36" s="7"/>
      <c r="E36" s="11">
        <v>0.2019</v>
      </c>
      <c r="F36" s="11">
        <v>0.2019</v>
      </c>
      <c r="G36" s="11">
        <v>0.2019</v>
      </c>
      <c r="H36" s="11">
        <v>0.2019</v>
      </c>
      <c r="I36" s="11">
        <v>0.2019</v>
      </c>
      <c r="J36" s="11">
        <v>0.111</v>
      </c>
      <c r="K36" s="11">
        <v>0.16</v>
      </c>
      <c r="L36" s="110">
        <f>29+3</f>
        <v>32</v>
      </c>
      <c r="M36" s="110">
        <f>35.75+3</f>
        <v>38.75</v>
      </c>
      <c r="N36" s="110">
        <f>29+3</f>
        <v>32</v>
      </c>
      <c r="O36" s="110">
        <f>40.35+3</f>
        <v>43.35</v>
      </c>
      <c r="P36" s="110">
        <f>45.75+3</f>
        <v>48.75</v>
      </c>
      <c r="Q36" s="110">
        <f>35.25+3</f>
        <v>38.25</v>
      </c>
      <c r="R36" s="23" t="s">
        <v>181</v>
      </c>
    </row>
    <row r="37" spans="1:18" s="18" customFormat="1" ht="29.25" customHeight="1">
      <c r="A37" s="153"/>
      <c r="B37" s="139"/>
      <c r="C37" s="7" t="s">
        <v>104</v>
      </c>
      <c r="D37" s="17"/>
      <c r="E37" s="11">
        <v>0.2243</v>
      </c>
      <c r="F37" s="11">
        <v>0.2243</v>
      </c>
      <c r="G37" s="11">
        <v>0.2243</v>
      </c>
      <c r="H37" s="11">
        <v>0.2243</v>
      </c>
      <c r="I37" s="11">
        <v>0.2243</v>
      </c>
      <c r="J37" s="11">
        <v>0.1069</v>
      </c>
      <c r="K37" s="11">
        <v>0.188</v>
      </c>
      <c r="L37" s="110">
        <f>29+3</f>
        <v>32</v>
      </c>
      <c r="M37" s="110">
        <f>36.75+3</f>
        <v>39.75</v>
      </c>
      <c r="N37" s="110">
        <f>29+3</f>
        <v>32</v>
      </c>
      <c r="O37" s="110">
        <f>40+3</f>
        <v>43</v>
      </c>
      <c r="P37" s="110">
        <f>46.75+3</f>
        <v>49.75</v>
      </c>
      <c r="Q37" s="110">
        <f>35.95+3</f>
        <v>38.95</v>
      </c>
      <c r="R37" s="23" t="s">
        <v>182</v>
      </c>
    </row>
    <row r="38" spans="1:18" s="13" customFormat="1" ht="29.25" customHeight="1">
      <c r="A38" s="153"/>
      <c r="B38" s="139"/>
      <c r="C38" s="7" t="s">
        <v>105</v>
      </c>
      <c r="D38" s="7"/>
      <c r="E38" s="11">
        <v>0.1652</v>
      </c>
      <c r="F38" s="11">
        <v>0.1652</v>
      </c>
      <c r="G38" s="11">
        <v>0.1652</v>
      </c>
      <c r="H38" s="11">
        <v>0.1652</v>
      </c>
      <c r="I38" s="11">
        <v>0.1652</v>
      </c>
      <c r="J38" s="11">
        <v>0.0748</v>
      </c>
      <c r="K38" s="11">
        <v>0.1</v>
      </c>
      <c r="L38" s="110">
        <f>26+3</f>
        <v>29</v>
      </c>
      <c r="M38" s="110">
        <f>35+3</f>
        <v>38</v>
      </c>
      <c r="N38" s="110">
        <f>26+3</f>
        <v>29</v>
      </c>
      <c r="O38" s="110">
        <f>39.3+3</f>
        <v>42.3</v>
      </c>
      <c r="P38" s="110">
        <f>45.25+3</f>
        <v>48.25</v>
      </c>
      <c r="Q38" s="110">
        <f>33.75+3</f>
        <v>36.75</v>
      </c>
      <c r="R38" s="23" t="s">
        <v>183</v>
      </c>
    </row>
    <row r="39" spans="1:18" s="13" customFormat="1" ht="29.25" customHeight="1">
      <c r="A39" s="7">
        <v>11</v>
      </c>
      <c r="B39" s="140" t="s">
        <v>80</v>
      </c>
      <c r="C39" s="141"/>
      <c r="D39" s="7" t="s">
        <v>81</v>
      </c>
      <c r="E39" s="11">
        <v>0.5193</v>
      </c>
      <c r="F39" s="11">
        <v>0.5193</v>
      </c>
      <c r="G39" s="11">
        <v>0.5193</v>
      </c>
      <c r="H39" s="11">
        <v>0.5193</v>
      </c>
      <c r="I39" s="11">
        <v>0.5193</v>
      </c>
      <c r="J39" s="11">
        <v>0.4357</v>
      </c>
      <c r="K39" s="11">
        <v>0.508</v>
      </c>
      <c r="L39" s="106">
        <v>36.8</v>
      </c>
      <c r="M39" s="106">
        <v>50.3</v>
      </c>
      <c r="N39" s="106">
        <v>36.8</v>
      </c>
      <c r="O39" s="106">
        <v>55</v>
      </c>
      <c r="P39" s="106">
        <v>65</v>
      </c>
      <c r="Q39" s="106">
        <v>50</v>
      </c>
      <c r="R39" s="23"/>
    </row>
    <row r="40" spans="1:18" s="13" customFormat="1" ht="84" customHeight="1">
      <c r="A40" s="147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21"/>
    </row>
  </sheetData>
  <sheetProtection/>
  <mergeCells count="26">
    <mergeCell ref="A40:Q40"/>
    <mergeCell ref="R23:R28"/>
    <mergeCell ref="A29:A33"/>
    <mergeCell ref="B29:B33"/>
    <mergeCell ref="A34:A38"/>
    <mergeCell ref="B34:B38"/>
    <mergeCell ref="B39:C39"/>
    <mergeCell ref="A18:A21"/>
    <mergeCell ref="B18:B21"/>
    <mergeCell ref="B22:C22"/>
    <mergeCell ref="A23:A28"/>
    <mergeCell ref="B23:B28"/>
    <mergeCell ref="A7:A14"/>
    <mergeCell ref="B7:B14"/>
    <mergeCell ref="B15:C15"/>
    <mergeCell ref="B17:C17"/>
    <mergeCell ref="B16:C16"/>
    <mergeCell ref="A1:R1"/>
    <mergeCell ref="A2:A3"/>
    <mergeCell ref="B2:C3"/>
    <mergeCell ref="D2:D3"/>
    <mergeCell ref="E2:K2"/>
    <mergeCell ref="L2:Q2"/>
    <mergeCell ref="R2:R3"/>
    <mergeCell ref="A4:A6"/>
    <mergeCell ref="B4:B6"/>
  </mergeCells>
  <printOptions/>
  <pageMargins left="0.4330708661417323" right="0.4330708661417323" top="0.7480314960629921" bottom="0.5511811023622047" header="0.1968503937007874" footer="0.1574803149606299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zoomScalePageLayoutView="0" workbookViewId="0" topLeftCell="A1">
      <pane xSplit="7" ySplit="3" topLeftCell="H10" activePane="bottomRight" state="frozen"/>
      <selection pane="topLeft" activeCell="A1" sqref="A1"/>
      <selection pane="topRight" activeCell="H1" sqref="H1"/>
      <selection pane="bottomLeft" activeCell="A4" sqref="A4"/>
      <selection pane="bottomRight" activeCell="H16" sqref="H16:M16"/>
    </sheetView>
  </sheetViews>
  <sheetFormatPr defaultColWidth="9.140625" defaultRowHeight="12"/>
  <cols>
    <col min="1" max="1" width="5.00390625" style="1" customWidth="1"/>
    <col min="2" max="2" width="5.140625" style="1" customWidth="1"/>
    <col min="3" max="3" width="13.28125" style="1" customWidth="1"/>
    <col min="4" max="4" width="20.57421875" style="1" hidden="1" customWidth="1"/>
    <col min="5" max="5" width="16.421875" style="6" hidden="1" customWidth="1"/>
    <col min="6" max="6" width="19.8515625" style="3" hidden="1" customWidth="1"/>
    <col min="7" max="7" width="15.140625" style="5" hidden="1" customWidth="1"/>
    <col min="8" max="13" width="15.7109375" style="2" customWidth="1"/>
    <col min="14" max="14" width="19.57421875" style="22" customWidth="1"/>
    <col min="15" max="16384" width="9.140625" style="1" customWidth="1"/>
  </cols>
  <sheetData>
    <row r="1" spans="1:14" s="4" customFormat="1" ht="24.75" customHeight="1">
      <c r="A1" s="158" t="s">
        <v>132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s="10" customFormat="1" ht="18.75" customHeight="1">
      <c r="A2" s="153" t="s">
        <v>144</v>
      </c>
      <c r="B2" s="153" t="s">
        <v>145</v>
      </c>
      <c r="C2" s="153"/>
      <c r="D2" s="153" t="s">
        <v>22</v>
      </c>
      <c r="E2" s="130" t="s">
        <v>14</v>
      </c>
      <c r="F2" s="128" t="s">
        <v>13</v>
      </c>
      <c r="G2" s="129" t="s">
        <v>14</v>
      </c>
      <c r="H2" s="138" t="s">
        <v>136</v>
      </c>
      <c r="I2" s="138"/>
      <c r="J2" s="138"/>
      <c r="K2" s="138"/>
      <c r="L2" s="138"/>
      <c r="M2" s="138"/>
      <c r="N2" s="153" t="s">
        <v>99</v>
      </c>
    </row>
    <row r="3" spans="1:14" s="13" customFormat="1" ht="23.25" customHeight="1">
      <c r="A3" s="153"/>
      <c r="B3" s="153"/>
      <c r="C3" s="153"/>
      <c r="D3" s="153"/>
      <c r="E3" s="130"/>
      <c r="F3" s="128"/>
      <c r="G3" s="129"/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53"/>
    </row>
    <row r="4" spans="1:14" s="13" customFormat="1" ht="58.5" customHeight="1">
      <c r="A4" s="153">
        <v>1</v>
      </c>
      <c r="B4" s="139" t="s">
        <v>92</v>
      </c>
      <c r="C4" s="7" t="s">
        <v>24</v>
      </c>
      <c r="D4" s="7" t="s">
        <v>17</v>
      </c>
      <c r="E4" s="8">
        <v>39264</v>
      </c>
      <c r="F4" s="7"/>
      <c r="G4" s="14"/>
      <c r="H4" s="9">
        <v>0.84</v>
      </c>
      <c r="I4" s="9">
        <v>0.87</v>
      </c>
      <c r="J4" s="9">
        <v>0.84</v>
      </c>
      <c r="K4" s="9">
        <v>1.15</v>
      </c>
      <c r="L4" s="9">
        <v>0.84</v>
      </c>
      <c r="M4" s="9">
        <v>0.84</v>
      </c>
      <c r="N4" s="154" t="s">
        <v>146</v>
      </c>
    </row>
    <row r="5" spans="1:14" s="13" customFormat="1" ht="60" customHeight="1">
      <c r="A5" s="153"/>
      <c r="B5" s="139"/>
      <c r="C5" s="7" t="s">
        <v>26</v>
      </c>
      <c r="D5" s="7" t="s">
        <v>17</v>
      </c>
      <c r="E5" s="8">
        <v>39264</v>
      </c>
      <c r="F5" s="7"/>
      <c r="G5" s="14"/>
      <c r="H5" s="9">
        <v>0.77</v>
      </c>
      <c r="I5" s="9">
        <v>0.8</v>
      </c>
      <c r="J5" s="9">
        <v>0.77</v>
      </c>
      <c r="K5" s="9">
        <v>1.06</v>
      </c>
      <c r="L5" s="9">
        <v>0.77</v>
      </c>
      <c r="M5" s="9">
        <v>0.77</v>
      </c>
      <c r="N5" s="163"/>
    </row>
    <row r="6" spans="1:14" s="13" customFormat="1" ht="49.5" customHeight="1">
      <c r="A6" s="153"/>
      <c r="B6" s="139"/>
      <c r="C6" s="7" t="s">
        <v>27</v>
      </c>
      <c r="D6" s="7" t="s">
        <v>17</v>
      </c>
      <c r="E6" s="8">
        <v>39264</v>
      </c>
      <c r="F6" s="7"/>
      <c r="G6" s="14"/>
      <c r="H6" s="9">
        <v>0.69</v>
      </c>
      <c r="I6" s="9">
        <v>0.71</v>
      </c>
      <c r="J6" s="9">
        <v>0.69</v>
      </c>
      <c r="K6" s="9">
        <v>0.94</v>
      </c>
      <c r="L6" s="9">
        <v>0.69</v>
      </c>
      <c r="M6" s="9">
        <v>0.69</v>
      </c>
      <c r="N6" s="155"/>
    </row>
    <row r="7" spans="1:14" s="13" customFormat="1" ht="29.25" customHeight="1">
      <c r="A7" s="154">
        <v>2</v>
      </c>
      <c r="B7" s="139" t="s">
        <v>121</v>
      </c>
      <c r="C7" s="7" t="s">
        <v>184</v>
      </c>
      <c r="D7" s="7" t="s">
        <v>29</v>
      </c>
      <c r="E7" s="8">
        <v>39448</v>
      </c>
      <c r="F7" s="7"/>
      <c r="G7" s="14"/>
      <c r="H7" s="11">
        <v>0.588</v>
      </c>
      <c r="I7" s="11">
        <v>0.6079</v>
      </c>
      <c r="J7" s="11">
        <v>0.4891</v>
      </c>
      <c r="K7" s="11">
        <v>0.6168</v>
      </c>
      <c r="L7" s="11">
        <v>0.581</v>
      </c>
      <c r="M7" s="11">
        <v>0.4693</v>
      </c>
      <c r="N7" s="23"/>
    </row>
    <row r="8" spans="1:14" s="13" customFormat="1" ht="29.25" customHeight="1">
      <c r="A8" s="163"/>
      <c r="B8" s="139"/>
      <c r="C8" s="7" t="s">
        <v>185</v>
      </c>
      <c r="D8" s="7"/>
      <c r="E8" s="8"/>
      <c r="F8" s="7"/>
      <c r="G8" s="14"/>
      <c r="H8" s="11">
        <v>0.5498</v>
      </c>
      <c r="I8" s="11">
        <v>0.5434</v>
      </c>
      <c r="J8" s="11">
        <v>0.438</v>
      </c>
      <c r="K8" s="11">
        <v>0.558</v>
      </c>
      <c r="L8" s="11">
        <v>0.4973</v>
      </c>
      <c r="M8" s="11">
        <v>0.4268</v>
      </c>
      <c r="N8" s="23"/>
    </row>
    <row r="9" spans="1:14" s="13" customFormat="1" ht="29.25" customHeight="1">
      <c r="A9" s="163"/>
      <c r="B9" s="139"/>
      <c r="C9" s="7" t="s">
        <v>186</v>
      </c>
      <c r="D9" s="7"/>
      <c r="E9" s="8"/>
      <c r="F9" s="7"/>
      <c r="G9" s="14"/>
      <c r="H9" s="11">
        <v>0.4506</v>
      </c>
      <c r="I9" s="11">
        <v>0.3216</v>
      </c>
      <c r="J9" s="11">
        <v>0.4388</v>
      </c>
      <c r="K9" s="11">
        <v>0.463</v>
      </c>
      <c r="L9" s="11">
        <v>0.3765</v>
      </c>
      <c r="M9" s="11">
        <v>0.3585</v>
      </c>
      <c r="N9" s="23"/>
    </row>
    <row r="10" spans="1:14" s="13" customFormat="1" ht="29.25" customHeight="1">
      <c r="A10" s="163"/>
      <c r="B10" s="139"/>
      <c r="C10" s="7" t="s">
        <v>187</v>
      </c>
      <c r="D10" s="7"/>
      <c r="E10" s="8"/>
      <c r="F10" s="7"/>
      <c r="G10" s="14"/>
      <c r="H10" s="11">
        <v>0.42</v>
      </c>
      <c r="I10" s="11">
        <v>0.32</v>
      </c>
      <c r="J10" s="11">
        <v>0.382</v>
      </c>
      <c r="K10" s="11">
        <v>0.349</v>
      </c>
      <c r="L10" s="11">
        <v>0.365</v>
      </c>
      <c r="M10" s="11">
        <v>0.3055</v>
      </c>
      <c r="N10" s="23"/>
    </row>
    <row r="11" spans="1:14" s="13" customFormat="1" ht="29.25" customHeight="1">
      <c r="A11" s="163"/>
      <c r="B11" s="139"/>
      <c r="C11" s="7" t="s">
        <v>188</v>
      </c>
      <c r="D11" s="7"/>
      <c r="E11" s="8"/>
      <c r="F11" s="7"/>
      <c r="G11" s="14"/>
      <c r="H11" s="11">
        <v>0.4575</v>
      </c>
      <c r="I11" s="11">
        <v>0.312</v>
      </c>
      <c r="J11" s="11">
        <v>0.3966</v>
      </c>
      <c r="K11" s="11">
        <v>0.3704</v>
      </c>
      <c r="L11" s="11">
        <v>0.375</v>
      </c>
      <c r="M11" s="11">
        <v>0.3012</v>
      </c>
      <c r="N11" s="23"/>
    </row>
    <row r="12" spans="1:14" s="13" customFormat="1" ht="29.25" customHeight="1">
      <c r="A12" s="163"/>
      <c r="B12" s="139"/>
      <c r="C12" s="7" t="s">
        <v>189</v>
      </c>
      <c r="D12" s="7"/>
      <c r="E12" s="8"/>
      <c r="F12" s="7"/>
      <c r="G12" s="14"/>
      <c r="H12" s="11">
        <v>0.4228</v>
      </c>
      <c r="I12" s="11">
        <v>0.315</v>
      </c>
      <c r="J12" s="11">
        <v>0.3866</v>
      </c>
      <c r="K12" s="11">
        <v>0.3273</v>
      </c>
      <c r="L12" s="11">
        <v>0.36</v>
      </c>
      <c r="M12" s="11">
        <v>0.304</v>
      </c>
      <c r="N12" s="23"/>
    </row>
    <row r="13" spans="1:14" s="13" customFormat="1" ht="29.25" customHeight="1">
      <c r="A13" s="163"/>
      <c r="B13" s="139"/>
      <c r="C13" s="7" t="s">
        <v>190</v>
      </c>
      <c r="D13" s="7"/>
      <c r="E13" s="8"/>
      <c r="F13" s="7"/>
      <c r="G13" s="14"/>
      <c r="H13" s="11">
        <v>0.4953</v>
      </c>
      <c r="I13" s="11">
        <v>0.4774</v>
      </c>
      <c r="J13" s="11">
        <v>0.3991</v>
      </c>
      <c r="K13" s="11">
        <v>0.4998</v>
      </c>
      <c r="L13" s="11">
        <v>0.403</v>
      </c>
      <c r="M13" s="11">
        <v>0.3602</v>
      </c>
      <c r="N13" s="23"/>
    </row>
    <row r="14" spans="1:14" s="13" customFormat="1" ht="29.25" customHeight="1">
      <c r="A14" s="155"/>
      <c r="B14" s="139"/>
      <c r="C14" s="7" t="s">
        <v>191</v>
      </c>
      <c r="D14" s="7"/>
      <c r="E14" s="8"/>
      <c r="F14" s="7"/>
      <c r="G14" s="14"/>
      <c r="H14" s="11"/>
      <c r="I14" s="11"/>
      <c r="J14" s="11"/>
      <c r="K14" s="11"/>
      <c r="L14" s="11"/>
      <c r="M14" s="11"/>
      <c r="N14" s="23"/>
    </row>
    <row r="15" spans="1:14" s="13" customFormat="1" ht="29.25" customHeight="1">
      <c r="A15" s="7">
        <v>3</v>
      </c>
      <c r="B15" s="140" t="s">
        <v>37</v>
      </c>
      <c r="C15" s="141"/>
      <c r="D15" s="7" t="s">
        <v>38</v>
      </c>
      <c r="E15" s="8">
        <v>39448</v>
      </c>
      <c r="F15" s="7"/>
      <c r="G15" s="14"/>
      <c r="H15" s="11">
        <v>1.2348</v>
      </c>
      <c r="I15" s="11">
        <v>0.9163</v>
      </c>
      <c r="J15" s="11">
        <v>1.2348</v>
      </c>
      <c r="K15" s="11">
        <v>1.125</v>
      </c>
      <c r="L15" s="11">
        <v>1.2348</v>
      </c>
      <c r="M15" s="11">
        <v>1.2348</v>
      </c>
      <c r="N15" s="23" t="s">
        <v>256</v>
      </c>
    </row>
    <row r="16" spans="1:14" s="13" customFormat="1" ht="29.25" customHeight="1">
      <c r="A16" s="7">
        <v>4</v>
      </c>
      <c r="B16" s="7"/>
      <c r="C16" s="7" t="s">
        <v>100</v>
      </c>
      <c r="D16" s="7"/>
      <c r="E16" s="8"/>
      <c r="F16" s="7"/>
      <c r="G16" s="14"/>
      <c r="H16" s="11">
        <v>0.7013</v>
      </c>
      <c r="I16" s="11">
        <v>0.5265</v>
      </c>
      <c r="J16" s="11">
        <v>0.7013</v>
      </c>
      <c r="K16" s="11">
        <v>0.6291</v>
      </c>
      <c r="L16" s="11">
        <v>0.7013</v>
      </c>
      <c r="M16" s="11">
        <v>0.7013</v>
      </c>
      <c r="N16" s="23"/>
    </row>
    <row r="17" spans="1:14" s="13" customFormat="1" ht="29.25" customHeight="1">
      <c r="A17" s="7">
        <v>5</v>
      </c>
      <c r="B17" s="7"/>
      <c r="C17" s="7" t="s">
        <v>43</v>
      </c>
      <c r="D17" s="7" t="s">
        <v>44</v>
      </c>
      <c r="E17" s="8">
        <v>39264</v>
      </c>
      <c r="F17" s="7"/>
      <c r="G17" s="14"/>
      <c r="H17" s="11">
        <v>0.8825</v>
      </c>
      <c r="I17" s="11">
        <v>0.844</v>
      </c>
      <c r="J17" s="11">
        <v>0.8825</v>
      </c>
      <c r="K17" s="11">
        <v>0.8975</v>
      </c>
      <c r="L17" s="11">
        <v>0.8825</v>
      </c>
      <c r="M17" s="11">
        <v>0.8825</v>
      </c>
      <c r="N17" s="23"/>
    </row>
    <row r="18" spans="1:14" s="13" customFormat="1" ht="29.25" customHeight="1">
      <c r="A18" s="154">
        <v>6</v>
      </c>
      <c r="B18" s="154" t="s">
        <v>147</v>
      </c>
      <c r="C18" s="7" t="s">
        <v>148</v>
      </c>
      <c r="D18" s="7" t="s">
        <v>48</v>
      </c>
      <c r="E18" s="8">
        <v>39448</v>
      </c>
      <c r="F18" s="7"/>
      <c r="G18" s="14"/>
      <c r="H18" s="11">
        <v>0.3895</v>
      </c>
      <c r="I18" s="11">
        <v>0.3684</v>
      </c>
      <c r="J18" s="11">
        <v>0.3728</v>
      </c>
      <c r="K18" s="11">
        <v>0.3958</v>
      </c>
      <c r="L18" s="11">
        <v>0.414</v>
      </c>
      <c r="M18" s="11">
        <v>0.4596</v>
      </c>
      <c r="N18" s="23"/>
    </row>
    <row r="19" spans="1:14" s="13" customFormat="1" ht="29.25" customHeight="1">
      <c r="A19" s="163"/>
      <c r="B19" s="163"/>
      <c r="C19" s="7" t="s">
        <v>149</v>
      </c>
      <c r="D19" s="7"/>
      <c r="E19" s="8"/>
      <c r="F19" s="7"/>
      <c r="G19" s="14"/>
      <c r="H19" s="11">
        <v>0.3895</v>
      </c>
      <c r="I19" s="11">
        <v>0.3684</v>
      </c>
      <c r="J19" s="11">
        <v>0.3728</v>
      </c>
      <c r="K19" s="11">
        <v>0.3958</v>
      </c>
      <c r="L19" s="11">
        <v>0.414</v>
      </c>
      <c r="M19" s="11">
        <v>0.4596</v>
      </c>
      <c r="N19" s="23"/>
    </row>
    <row r="20" spans="1:14" s="13" customFormat="1" ht="29.25" customHeight="1">
      <c r="A20" s="163"/>
      <c r="B20" s="163"/>
      <c r="C20" s="7" t="s">
        <v>150</v>
      </c>
      <c r="D20" s="7"/>
      <c r="E20" s="8"/>
      <c r="F20" s="7"/>
      <c r="G20" s="14"/>
      <c r="H20" s="11">
        <v>0.379</v>
      </c>
      <c r="I20" s="11">
        <v>0.3554</v>
      </c>
      <c r="J20" s="11">
        <v>0.3623</v>
      </c>
      <c r="K20" s="11">
        <v>0.3839</v>
      </c>
      <c r="L20" s="11">
        <v>0.4008</v>
      </c>
      <c r="M20" s="11">
        <v>0.4028</v>
      </c>
      <c r="N20" s="23"/>
    </row>
    <row r="21" spans="1:14" s="13" customFormat="1" ht="29.25" customHeight="1">
      <c r="A21" s="155"/>
      <c r="B21" s="155"/>
      <c r="C21" s="7" t="s">
        <v>151</v>
      </c>
      <c r="D21" s="7"/>
      <c r="E21" s="8"/>
      <c r="F21" s="7"/>
      <c r="G21" s="14"/>
      <c r="H21" s="11">
        <v>0.3724</v>
      </c>
      <c r="I21" s="11">
        <v>0.3488</v>
      </c>
      <c r="J21" s="11">
        <v>0.3556</v>
      </c>
      <c r="K21" s="11">
        <v>0.3802</v>
      </c>
      <c r="L21" s="11">
        <v>0.3942</v>
      </c>
      <c r="M21" s="11">
        <v>0.4433</v>
      </c>
      <c r="N21" s="23"/>
    </row>
    <row r="22" spans="1:14" s="13" customFormat="1" ht="29.25" customHeight="1">
      <c r="A22" s="7">
        <v>7</v>
      </c>
      <c r="B22" s="140" t="s">
        <v>56</v>
      </c>
      <c r="C22" s="141"/>
      <c r="D22" s="7" t="s">
        <v>57</v>
      </c>
      <c r="E22" s="8">
        <v>39448</v>
      </c>
      <c r="F22" s="7"/>
      <c r="G22" s="14"/>
      <c r="H22" s="11">
        <v>0.9948</v>
      </c>
      <c r="I22" s="11">
        <v>0.6728</v>
      </c>
      <c r="J22" s="11">
        <v>0.9948</v>
      </c>
      <c r="K22" s="11">
        <v>0.9194</v>
      </c>
      <c r="L22" s="11">
        <v>0.9948</v>
      </c>
      <c r="M22" s="11">
        <v>1.022</v>
      </c>
      <c r="N22" s="23"/>
    </row>
    <row r="23" spans="1:14" s="13" customFormat="1" ht="29.25" customHeight="1">
      <c r="A23" s="154">
        <v>8</v>
      </c>
      <c r="B23" s="139" t="s">
        <v>122</v>
      </c>
      <c r="C23" s="7" t="s">
        <v>93</v>
      </c>
      <c r="D23" s="7" t="s">
        <v>60</v>
      </c>
      <c r="E23" s="8">
        <v>39448</v>
      </c>
      <c r="F23" s="7"/>
      <c r="G23" s="14"/>
      <c r="H23" s="11"/>
      <c r="I23" s="11"/>
      <c r="J23" s="11">
        <v>1.207</v>
      </c>
      <c r="K23" s="11"/>
      <c r="L23" s="11"/>
      <c r="M23" s="11">
        <v>1.207</v>
      </c>
      <c r="N23" s="142"/>
    </row>
    <row r="24" spans="1:14" s="13" customFormat="1" ht="29.25" customHeight="1">
      <c r="A24" s="163"/>
      <c r="B24" s="139"/>
      <c r="C24" s="7" t="s">
        <v>94</v>
      </c>
      <c r="D24" s="7"/>
      <c r="E24" s="8"/>
      <c r="F24" s="7"/>
      <c r="G24" s="14"/>
      <c r="H24" s="11"/>
      <c r="I24" s="11"/>
      <c r="J24" s="11">
        <v>1.1624</v>
      </c>
      <c r="K24" s="11"/>
      <c r="L24" s="11"/>
      <c r="M24" s="11">
        <v>1.1624</v>
      </c>
      <c r="N24" s="142"/>
    </row>
    <row r="25" spans="1:14" s="13" customFormat="1" ht="29.25" customHeight="1">
      <c r="A25" s="163"/>
      <c r="B25" s="139"/>
      <c r="C25" s="7" t="s">
        <v>95</v>
      </c>
      <c r="D25" s="7"/>
      <c r="E25" s="8"/>
      <c r="F25" s="7"/>
      <c r="G25" s="14"/>
      <c r="H25" s="11"/>
      <c r="I25" s="11"/>
      <c r="J25" s="11">
        <v>1.0838</v>
      </c>
      <c r="K25" s="11"/>
      <c r="L25" s="11"/>
      <c r="M25" s="11">
        <v>1.0838</v>
      </c>
      <c r="N25" s="142"/>
    </row>
    <row r="26" spans="1:14" s="13" customFormat="1" ht="29.25" customHeight="1">
      <c r="A26" s="163"/>
      <c r="B26" s="139"/>
      <c r="C26" s="7" t="s">
        <v>96</v>
      </c>
      <c r="D26" s="7"/>
      <c r="E26" s="8"/>
      <c r="F26" s="7"/>
      <c r="G26" s="14"/>
      <c r="H26" s="11"/>
      <c r="I26" s="11"/>
      <c r="J26" s="11">
        <v>1.1624</v>
      </c>
      <c r="K26" s="11"/>
      <c r="L26" s="11"/>
      <c r="M26" s="11">
        <v>1.1624</v>
      </c>
      <c r="N26" s="142"/>
    </row>
    <row r="27" spans="1:14" s="13" customFormat="1" ht="29.25" customHeight="1">
      <c r="A27" s="163"/>
      <c r="B27" s="139"/>
      <c r="C27" s="7" t="s">
        <v>97</v>
      </c>
      <c r="D27" s="7"/>
      <c r="E27" s="8"/>
      <c r="F27" s="7"/>
      <c r="G27" s="14"/>
      <c r="H27" s="11"/>
      <c r="I27" s="11"/>
      <c r="J27" s="11">
        <v>1.1178</v>
      </c>
      <c r="K27" s="11"/>
      <c r="L27" s="11"/>
      <c r="M27" s="11">
        <v>1.1178</v>
      </c>
      <c r="N27" s="142"/>
    </row>
    <row r="28" spans="1:14" s="13" customFormat="1" ht="29.25" customHeight="1">
      <c r="A28" s="155"/>
      <c r="B28" s="139"/>
      <c r="C28" s="7" t="s">
        <v>98</v>
      </c>
      <c r="D28" s="7"/>
      <c r="E28" s="8"/>
      <c r="F28" s="7"/>
      <c r="G28" s="14"/>
      <c r="H28" s="11"/>
      <c r="I28" s="11"/>
      <c r="J28" s="11">
        <v>1.1178</v>
      </c>
      <c r="K28" s="11"/>
      <c r="L28" s="11"/>
      <c r="M28" s="11">
        <v>1.1178</v>
      </c>
      <c r="N28" s="142"/>
    </row>
    <row r="29" spans="1:14" s="13" customFormat="1" ht="29.25" customHeight="1">
      <c r="A29" s="154">
        <v>9</v>
      </c>
      <c r="B29" s="139" t="s">
        <v>65</v>
      </c>
      <c r="C29" s="7" t="s">
        <v>124</v>
      </c>
      <c r="D29" s="7" t="s">
        <v>66</v>
      </c>
      <c r="E29" s="8">
        <v>39295</v>
      </c>
      <c r="F29" s="7"/>
      <c r="G29" s="14"/>
      <c r="H29" s="16">
        <v>0.4551</v>
      </c>
      <c r="I29" s="11">
        <v>0.5191</v>
      </c>
      <c r="J29" s="11">
        <v>0.4711</v>
      </c>
      <c r="K29" s="11">
        <v>0.5479</v>
      </c>
      <c r="L29" s="11">
        <v>0.4711</v>
      </c>
      <c r="M29" s="11">
        <v>0.5108</v>
      </c>
      <c r="N29" s="23"/>
    </row>
    <row r="30" spans="1:14" s="13" customFormat="1" ht="29.25" customHeight="1">
      <c r="A30" s="163"/>
      <c r="B30" s="139"/>
      <c r="C30" s="7" t="s">
        <v>125</v>
      </c>
      <c r="D30" s="7"/>
      <c r="E30" s="8"/>
      <c r="F30" s="7"/>
      <c r="G30" s="14"/>
      <c r="H30" s="16">
        <v>0.3724</v>
      </c>
      <c r="I30" s="11">
        <v>0.2626</v>
      </c>
      <c r="J30" s="11">
        <v>0.4002</v>
      </c>
      <c r="K30" s="11">
        <v>0.415</v>
      </c>
      <c r="L30" s="11">
        <v>0.4002</v>
      </c>
      <c r="M30" s="11">
        <v>0.4374</v>
      </c>
      <c r="N30" s="23"/>
    </row>
    <row r="31" spans="1:14" s="13" customFormat="1" ht="29.25" customHeight="1">
      <c r="A31" s="163"/>
      <c r="B31" s="139"/>
      <c r="C31" s="7" t="s">
        <v>126</v>
      </c>
      <c r="D31" s="7"/>
      <c r="E31" s="8"/>
      <c r="F31" s="7"/>
      <c r="G31" s="14"/>
      <c r="H31" s="16">
        <v>0.3724</v>
      </c>
      <c r="I31" s="11">
        <v>0.2796</v>
      </c>
      <c r="J31" s="11">
        <v>0.3817</v>
      </c>
      <c r="K31" s="11">
        <v>0.4095</v>
      </c>
      <c r="L31" s="11">
        <v>0.3817</v>
      </c>
      <c r="M31" s="11">
        <v>0.4188</v>
      </c>
      <c r="N31" s="23"/>
    </row>
    <row r="32" spans="1:14" s="13" customFormat="1" ht="29.25" customHeight="1">
      <c r="A32" s="163"/>
      <c r="B32" s="139"/>
      <c r="C32" s="7" t="s">
        <v>127</v>
      </c>
      <c r="D32" s="7"/>
      <c r="E32" s="8"/>
      <c r="F32" s="7"/>
      <c r="G32" s="14"/>
      <c r="H32" s="16">
        <v>0.4693</v>
      </c>
      <c r="I32" s="11">
        <v>0.3803</v>
      </c>
      <c r="J32" s="11">
        <v>0.5502</v>
      </c>
      <c r="K32" s="11">
        <v>0.5613</v>
      </c>
      <c r="L32" s="11">
        <v>0.5502</v>
      </c>
      <c r="M32" s="11">
        <v>0.5598</v>
      </c>
      <c r="N32" s="23"/>
    </row>
    <row r="33" spans="1:14" s="13" customFormat="1" ht="29.25" customHeight="1">
      <c r="A33" s="155"/>
      <c r="B33" s="139"/>
      <c r="C33" s="7" t="s">
        <v>128</v>
      </c>
      <c r="D33" s="7"/>
      <c r="E33" s="8"/>
      <c r="F33" s="7"/>
      <c r="G33" s="14"/>
      <c r="H33" s="16">
        <v>0.534</v>
      </c>
      <c r="I33" s="11">
        <v>0.3686</v>
      </c>
      <c r="J33" s="11">
        <v>0.5371</v>
      </c>
      <c r="K33" s="11">
        <v>0.5415</v>
      </c>
      <c r="L33" s="11">
        <v>0.5371</v>
      </c>
      <c r="M33" s="11">
        <v>0.5459</v>
      </c>
      <c r="N33" s="23"/>
    </row>
    <row r="34" spans="1:14" s="13" customFormat="1" ht="29.25" customHeight="1">
      <c r="A34" s="154">
        <v>10</v>
      </c>
      <c r="B34" s="139" t="s">
        <v>123</v>
      </c>
      <c r="C34" s="7" t="s">
        <v>101</v>
      </c>
      <c r="D34" s="7" t="s">
        <v>69</v>
      </c>
      <c r="E34" s="8">
        <v>39264</v>
      </c>
      <c r="F34" s="7"/>
      <c r="G34" s="14"/>
      <c r="H34" s="11">
        <v>0.275</v>
      </c>
      <c r="I34" s="11">
        <v>0.173</v>
      </c>
      <c r="J34" s="11">
        <v>0.275</v>
      </c>
      <c r="K34" s="11">
        <v>0.217</v>
      </c>
      <c r="L34" s="11">
        <v>0.285</v>
      </c>
      <c r="M34" s="11">
        <v>0.281</v>
      </c>
      <c r="N34" s="24" t="s">
        <v>106</v>
      </c>
    </row>
    <row r="35" spans="1:14" s="13" customFormat="1" ht="29.25" customHeight="1">
      <c r="A35" s="163"/>
      <c r="B35" s="139"/>
      <c r="C35" s="7" t="s">
        <v>102</v>
      </c>
      <c r="D35" s="7"/>
      <c r="E35" s="8"/>
      <c r="F35" s="7"/>
      <c r="G35" s="14"/>
      <c r="H35" s="11">
        <v>0.237</v>
      </c>
      <c r="I35" s="11">
        <v>0.17</v>
      </c>
      <c r="J35" s="11">
        <v>0.237</v>
      </c>
      <c r="K35" s="11">
        <v>0.2</v>
      </c>
      <c r="L35" s="11">
        <v>0.244</v>
      </c>
      <c r="M35" s="11">
        <v>0.242</v>
      </c>
      <c r="N35" s="24" t="s">
        <v>107</v>
      </c>
    </row>
    <row r="36" spans="1:14" s="13" customFormat="1" ht="37.5" customHeight="1">
      <c r="A36" s="163"/>
      <c r="B36" s="139"/>
      <c r="C36" s="7" t="s">
        <v>103</v>
      </c>
      <c r="D36" s="7"/>
      <c r="E36" s="8"/>
      <c r="F36" s="7"/>
      <c r="G36" s="14"/>
      <c r="H36" s="11">
        <v>0.225</v>
      </c>
      <c r="I36" s="11">
        <v>0.1525</v>
      </c>
      <c r="J36" s="11">
        <v>0.225</v>
      </c>
      <c r="K36" s="11">
        <v>0.18</v>
      </c>
      <c r="L36" s="11">
        <v>0.237</v>
      </c>
      <c r="M36" s="11">
        <v>0.234</v>
      </c>
      <c r="N36" s="24" t="s">
        <v>108</v>
      </c>
    </row>
    <row r="37" spans="1:14" s="18" customFormat="1" ht="34.5" customHeight="1">
      <c r="A37" s="163"/>
      <c r="B37" s="139"/>
      <c r="C37" s="7" t="s">
        <v>104</v>
      </c>
      <c r="D37" s="17"/>
      <c r="E37" s="19"/>
      <c r="F37" s="17"/>
      <c r="G37" s="20"/>
      <c r="H37" s="11">
        <v>0.245</v>
      </c>
      <c r="I37" s="11">
        <v>0.165</v>
      </c>
      <c r="J37" s="11">
        <v>0.245</v>
      </c>
      <c r="K37" s="11">
        <v>0.207</v>
      </c>
      <c r="L37" s="11">
        <v>0.2485</v>
      </c>
      <c r="M37" s="11">
        <v>0.248</v>
      </c>
      <c r="N37" s="24" t="s">
        <v>109</v>
      </c>
    </row>
    <row r="38" spans="1:14" s="13" customFormat="1" ht="35.25" customHeight="1">
      <c r="A38" s="155"/>
      <c r="B38" s="139"/>
      <c r="C38" s="7" t="s">
        <v>105</v>
      </c>
      <c r="D38" s="7"/>
      <c r="E38" s="8"/>
      <c r="F38" s="7"/>
      <c r="G38" s="14"/>
      <c r="H38" s="11">
        <v>0.203</v>
      </c>
      <c r="I38" s="11">
        <v>0.1175</v>
      </c>
      <c r="J38" s="11">
        <v>0.203</v>
      </c>
      <c r="K38" s="11">
        <v>0.145</v>
      </c>
      <c r="L38" s="11">
        <v>0.21</v>
      </c>
      <c r="M38" s="11">
        <v>0.207</v>
      </c>
      <c r="N38" s="24" t="s">
        <v>110</v>
      </c>
    </row>
    <row r="39" spans="1:14" s="13" customFormat="1" ht="29.25" customHeight="1">
      <c r="A39" s="7">
        <v>11</v>
      </c>
      <c r="B39" s="140" t="s">
        <v>80</v>
      </c>
      <c r="C39" s="141"/>
      <c r="D39" s="7" t="s">
        <v>81</v>
      </c>
      <c r="E39" s="8">
        <v>39264</v>
      </c>
      <c r="F39" s="7"/>
      <c r="G39" s="14"/>
      <c r="H39" s="11">
        <v>0.694</v>
      </c>
      <c r="I39" s="11">
        <v>0.5734</v>
      </c>
      <c r="J39" s="11">
        <v>0.694</v>
      </c>
      <c r="K39" s="11">
        <v>0.695</v>
      </c>
      <c r="L39" s="11">
        <v>0.694</v>
      </c>
      <c r="M39" s="11">
        <v>0.694</v>
      </c>
      <c r="N39" s="23"/>
    </row>
    <row r="40" spans="1:14" s="13" customFormat="1" ht="84" customHeight="1">
      <c r="A40" s="147"/>
      <c r="B40" s="148"/>
      <c r="C40" s="148"/>
      <c r="D40" s="148"/>
      <c r="E40" s="148"/>
      <c r="F40" s="146"/>
      <c r="G40" s="146"/>
      <c r="H40" s="146"/>
      <c r="I40" s="146"/>
      <c r="J40" s="146"/>
      <c r="K40" s="146"/>
      <c r="L40" s="146"/>
      <c r="M40" s="127"/>
      <c r="N40" s="21"/>
    </row>
  </sheetData>
  <sheetProtection/>
  <mergeCells count="27">
    <mergeCell ref="A23:A28"/>
    <mergeCell ref="A34:A38"/>
    <mergeCell ref="A29:A33"/>
    <mergeCell ref="B39:C39"/>
    <mergeCell ref="A7:A14"/>
    <mergeCell ref="A1:N1"/>
    <mergeCell ref="B23:B28"/>
    <mergeCell ref="N23:N28"/>
    <mergeCell ref="B29:B33"/>
    <mergeCell ref="B34:B38"/>
    <mergeCell ref="N2:N3"/>
    <mergeCell ref="N4:N6"/>
    <mergeCell ref="A18:A21"/>
    <mergeCell ref="E2:E3"/>
    <mergeCell ref="B18:B21"/>
    <mergeCell ref="B22:C22"/>
    <mergeCell ref="B15:C15"/>
    <mergeCell ref="A40:M40"/>
    <mergeCell ref="B2:C3"/>
    <mergeCell ref="F2:F3"/>
    <mergeCell ref="G2:G3"/>
    <mergeCell ref="H2:M2"/>
    <mergeCell ref="A4:A6"/>
    <mergeCell ref="B4:B6"/>
    <mergeCell ref="B7:B14"/>
    <mergeCell ref="A2:A3"/>
    <mergeCell ref="D2:D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Z40"/>
  <sheetViews>
    <sheetView tabSelected="1" zoomScalePageLayoutView="0" workbookViewId="0" topLeftCell="A1">
      <pane xSplit="7" ySplit="3" topLeftCell="H20" activePane="bottomRight" state="frozen"/>
      <selection pane="topLeft" activeCell="A1" sqref="A1"/>
      <selection pane="topRight" activeCell="H1" sqref="H1"/>
      <selection pane="bottomLeft" activeCell="A4" sqref="A4"/>
      <selection pane="bottomRight" activeCell="H26" sqref="H26"/>
    </sheetView>
  </sheetViews>
  <sheetFormatPr defaultColWidth="9.140625" defaultRowHeight="12"/>
  <cols>
    <col min="1" max="1" width="3.57421875" style="1" customWidth="1"/>
    <col min="2" max="2" width="3.8515625" style="1" customWidth="1"/>
    <col min="3" max="3" width="12.140625" style="1" customWidth="1"/>
    <col min="4" max="4" width="20.57421875" style="1" hidden="1" customWidth="1"/>
    <col min="5" max="5" width="16.421875" style="6" hidden="1" customWidth="1"/>
    <col min="6" max="6" width="19.8515625" style="3" hidden="1" customWidth="1"/>
    <col min="7" max="7" width="15.140625" style="5" hidden="1" customWidth="1"/>
    <col min="8" max="19" width="9.140625" style="2" customWidth="1"/>
    <col min="20" max="20" width="15.00390625" style="22" customWidth="1"/>
    <col min="21" max="27" width="0" style="1" hidden="1" customWidth="1"/>
    <col min="28" max="16384" width="9.140625" style="1" customWidth="1"/>
  </cols>
  <sheetData>
    <row r="1" spans="1:20" s="4" customFormat="1" ht="24.75" customHeight="1">
      <c r="A1" s="158" t="s">
        <v>313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s="10" customFormat="1" ht="18.75" customHeight="1">
      <c r="A2" s="153" t="s">
        <v>129</v>
      </c>
      <c r="B2" s="153" t="s">
        <v>130</v>
      </c>
      <c r="C2" s="153"/>
      <c r="D2" s="153" t="s">
        <v>22</v>
      </c>
      <c r="E2" s="130" t="s">
        <v>14</v>
      </c>
      <c r="F2" s="128" t="s">
        <v>13</v>
      </c>
      <c r="G2" s="129" t="s">
        <v>14</v>
      </c>
      <c r="H2" s="150" t="s">
        <v>303</v>
      </c>
      <c r="I2" s="151"/>
      <c r="J2" s="151"/>
      <c r="K2" s="151"/>
      <c r="L2" s="151"/>
      <c r="M2" s="152"/>
      <c r="N2" s="138" t="s">
        <v>304</v>
      </c>
      <c r="O2" s="138"/>
      <c r="P2" s="138"/>
      <c r="Q2" s="138"/>
      <c r="R2" s="138"/>
      <c r="S2" s="138"/>
      <c r="T2" s="153" t="s">
        <v>99</v>
      </c>
    </row>
    <row r="3" spans="1:20" s="13" customFormat="1" ht="35.25" customHeight="1">
      <c r="A3" s="153"/>
      <c r="B3" s="153"/>
      <c r="C3" s="153"/>
      <c r="D3" s="153"/>
      <c r="E3" s="130"/>
      <c r="F3" s="128"/>
      <c r="G3" s="129"/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53"/>
    </row>
    <row r="4" spans="1:20" s="13" customFormat="1" ht="72" customHeight="1">
      <c r="A4" s="153">
        <v>1</v>
      </c>
      <c r="B4" s="139" t="s">
        <v>92</v>
      </c>
      <c r="C4" s="7" t="s">
        <v>24</v>
      </c>
      <c r="D4" s="7" t="s">
        <v>17</v>
      </c>
      <c r="E4" s="8">
        <v>39264</v>
      </c>
      <c r="F4" s="7"/>
      <c r="G4" s="14"/>
      <c r="H4" s="11">
        <v>0.15</v>
      </c>
      <c r="I4" s="11">
        <v>0.15</v>
      </c>
      <c r="J4" s="11">
        <v>0.15</v>
      </c>
      <c r="K4" s="11">
        <v>0.25</v>
      </c>
      <c r="L4" s="11">
        <v>0.15</v>
      </c>
      <c r="M4" s="11">
        <v>0.15</v>
      </c>
      <c r="N4" s="9">
        <v>0.84</v>
      </c>
      <c r="O4" s="9">
        <v>0.87</v>
      </c>
      <c r="P4" s="9">
        <v>0.84</v>
      </c>
      <c r="Q4" s="9">
        <v>1.15</v>
      </c>
      <c r="R4" s="9">
        <v>0.84</v>
      </c>
      <c r="S4" s="9">
        <v>0.84</v>
      </c>
      <c r="T4" s="154" t="s">
        <v>146</v>
      </c>
    </row>
    <row r="5" spans="1:20" s="13" customFormat="1" ht="67.5" customHeight="1">
      <c r="A5" s="153"/>
      <c r="B5" s="139"/>
      <c r="C5" s="7" t="s">
        <v>26</v>
      </c>
      <c r="D5" s="7" t="s">
        <v>17</v>
      </c>
      <c r="E5" s="8">
        <v>39264</v>
      </c>
      <c r="F5" s="7"/>
      <c r="G5" s="14"/>
      <c r="H5" s="11">
        <v>0.13</v>
      </c>
      <c r="I5" s="11">
        <v>0.13</v>
      </c>
      <c r="J5" s="11">
        <v>0.13</v>
      </c>
      <c r="K5" s="11">
        <v>0.22</v>
      </c>
      <c r="L5" s="11">
        <v>0.13</v>
      </c>
      <c r="M5" s="11">
        <v>0.13</v>
      </c>
      <c r="N5" s="9">
        <v>0.77</v>
      </c>
      <c r="O5" s="9">
        <v>0.8</v>
      </c>
      <c r="P5" s="9">
        <v>0.77</v>
      </c>
      <c r="Q5" s="9">
        <v>1.06</v>
      </c>
      <c r="R5" s="9">
        <v>0.77</v>
      </c>
      <c r="S5" s="9">
        <v>0.77</v>
      </c>
      <c r="T5" s="163"/>
    </row>
    <row r="6" spans="1:20" s="13" customFormat="1" ht="49.5" customHeight="1">
      <c r="A6" s="153"/>
      <c r="B6" s="139"/>
      <c r="C6" s="7" t="s">
        <v>27</v>
      </c>
      <c r="D6" s="7" t="s">
        <v>17</v>
      </c>
      <c r="E6" s="8">
        <v>39264</v>
      </c>
      <c r="F6" s="7"/>
      <c r="G6" s="14"/>
      <c r="H6" s="11">
        <v>0.12</v>
      </c>
      <c r="I6" s="11">
        <v>0.12</v>
      </c>
      <c r="J6" s="11">
        <v>0.12</v>
      </c>
      <c r="K6" s="11">
        <v>0.2</v>
      </c>
      <c r="L6" s="11">
        <v>0.12</v>
      </c>
      <c r="M6" s="11">
        <v>0.12</v>
      </c>
      <c r="N6" s="9">
        <v>0.69</v>
      </c>
      <c r="O6" s="9">
        <v>0.71</v>
      </c>
      <c r="P6" s="9">
        <v>0.69</v>
      </c>
      <c r="Q6" s="9">
        <v>0.94</v>
      </c>
      <c r="R6" s="9">
        <v>0.69</v>
      </c>
      <c r="S6" s="9">
        <v>0.69</v>
      </c>
      <c r="T6" s="155"/>
    </row>
    <row r="7" spans="1:21" s="13" customFormat="1" ht="27" customHeight="1">
      <c r="A7" s="154">
        <v>2</v>
      </c>
      <c r="B7" s="139" t="s">
        <v>121</v>
      </c>
      <c r="C7" s="7" t="s">
        <v>235</v>
      </c>
      <c r="D7" s="7" t="s">
        <v>29</v>
      </c>
      <c r="E7" s="8">
        <v>39448</v>
      </c>
      <c r="F7" s="7"/>
      <c r="G7" s="14"/>
      <c r="H7" s="11">
        <v>0.1357</v>
      </c>
      <c r="I7" s="11">
        <v>0.1216</v>
      </c>
      <c r="J7" s="11">
        <v>0.1129</v>
      </c>
      <c r="K7" s="11">
        <v>0.1028</v>
      </c>
      <c r="L7" s="11">
        <v>0.1347</v>
      </c>
      <c r="M7" s="11">
        <v>0.1083</v>
      </c>
      <c r="N7" s="11">
        <f>58.8%</f>
        <v>0.588</v>
      </c>
      <c r="O7" s="11">
        <v>0.6079</v>
      </c>
      <c r="P7" s="11">
        <v>0.4891</v>
      </c>
      <c r="Q7" s="11">
        <v>0.6168</v>
      </c>
      <c r="R7" s="11">
        <v>0.581</v>
      </c>
      <c r="S7" s="11">
        <v>0.4693</v>
      </c>
      <c r="T7" s="23"/>
      <c r="U7" s="11">
        <v>0.632</v>
      </c>
    </row>
    <row r="8" spans="1:21" s="13" customFormat="1" ht="27" customHeight="1">
      <c r="A8" s="163"/>
      <c r="B8" s="139"/>
      <c r="C8" s="7" t="s">
        <v>185</v>
      </c>
      <c r="D8" s="7"/>
      <c r="E8" s="8"/>
      <c r="F8" s="7"/>
      <c r="G8" s="14"/>
      <c r="H8" s="11">
        <v>0.1346</v>
      </c>
      <c r="I8" s="11">
        <v>0.1016</v>
      </c>
      <c r="J8" s="11">
        <v>0.1011</v>
      </c>
      <c r="K8" s="11">
        <v>0.0932</v>
      </c>
      <c r="L8" s="11">
        <v>0.1148</v>
      </c>
      <c r="M8" s="11">
        <v>0.0982</v>
      </c>
      <c r="N8" s="11">
        <f>54.98%</f>
        <v>0.5498</v>
      </c>
      <c r="O8" s="11">
        <f>54.34%</f>
        <v>0.5434</v>
      </c>
      <c r="P8" s="11">
        <v>0.438</v>
      </c>
      <c r="Q8" s="11">
        <v>0.558</v>
      </c>
      <c r="R8" s="11">
        <v>0.4973</v>
      </c>
      <c r="S8" s="11">
        <v>0.4268</v>
      </c>
      <c r="T8" s="23"/>
      <c r="U8" s="11">
        <v>0.62</v>
      </c>
    </row>
    <row r="9" spans="1:21" s="13" customFormat="1" ht="27" customHeight="1">
      <c r="A9" s="163"/>
      <c r="B9" s="139"/>
      <c r="C9" s="7" t="s">
        <v>186</v>
      </c>
      <c r="D9" s="7"/>
      <c r="E9" s="8"/>
      <c r="F9" s="7"/>
      <c r="G9" s="14"/>
      <c r="H9" s="11">
        <v>0.1013</v>
      </c>
      <c r="I9" s="11">
        <v>0.1206</v>
      </c>
      <c r="J9" s="11">
        <v>0.1013</v>
      </c>
      <c r="K9" s="11">
        <v>0.0926</v>
      </c>
      <c r="L9" s="11">
        <v>0.0869</v>
      </c>
      <c r="M9" s="11">
        <v>0.0827</v>
      </c>
      <c r="N9" s="11">
        <f>45.06%</f>
        <v>0.4506</v>
      </c>
      <c r="O9" s="11">
        <f>32.16%</f>
        <v>0.32159999999999994</v>
      </c>
      <c r="P9" s="11">
        <v>0.4388</v>
      </c>
      <c r="Q9" s="11">
        <v>0.463</v>
      </c>
      <c r="R9" s="11">
        <v>0.3765</v>
      </c>
      <c r="S9" s="11">
        <v>0.3585</v>
      </c>
      <c r="T9" s="23"/>
      <c r="U9" s="11">
        <v>0.5472</v>
      </c>
    </row>
    <row r="10" spans="1:21" s="13" customFormat="1" ht="27" customHeight="1">
      <c r="A10" s="163"/>
      <c r="B10" s="139"/>
      <c r="C10" s="7" t="s">
        <v>187</v>
      </c>
      <c r="D10" s="7"/>
      <c r="E10" s="8"/>
      <c r="F10" s="7"/>
      <c r="G10" s="14"/>
      <c r="H10" s="11">
        <v>0.12</v>
      </c>
      <c r="I10" s="11">
        <v>0.119</v>
      </c>
      <c r="J10" s="11">
        <v>0.0874</v>
      </c>
      <c r="K10" s="11">
        <v>0.0805</v>
      </c>
      <c r="L10" s="11">
        <v>0.084</v>
      </c>
      <c r="M10" s="11">
        <v>0.0705</v>
      </c>
      <c r="N10" s="11">
        <f>42%</f>
        <v>0.42</v>
      </c>
      <c r="O10" s="11">
        <f>32%</f>
        <v>0.32</v>
      </c>
      <c r="P10" s="11">
        <v>0.382</v>
      </c>
      <c r="Q10" s="11">
        <v>0.349</v>
      </c>
      <c r="R10" s="11">
        <v>0.365</v>
      </c>
      <c r="S10" s="11">
        <v>0.3055</v>
      </c>
      <c r="T10" s="23"/>
      <c r="U10" s="11">
        <v>0.536</v>
      </c>
    </row>
    <row r="11" spans="1:21" s="13" customFormat="1" ht="27" customHeight="1">
      <c r="A11" s="163"/>
      <c r="B11" s="139"/>
      <c r="C11" s="7" t="s">
        <v>188</v>
      </c>
      <c r="D11" s="7"/>
      <c r="E11" s="8"/>
      <c r="F11" s="7"/>
      <c r="G11" s="14"/>
      <c r="H11" s="11">
        <v>0.1525</v>
      </c>
      <c r="I11" s="11">
        <v>0.117</v>
      </c>
      <c r="J11" s="11">
        <v>0.0915</v>
      </c>
      <c r="K11" s="11">
        <v>0.1058</v>
      </c>
      <c r="L11" s="11">
        <v>0.0865</v>
      </c>
      <c r="M11" s="11">
        <v>0.0695</v>
      </c>
      <c r="N11" s="11">
        <f>45.75%</f>
        <v>0.4575</v>
      </c>
      <c r="O11" s="11">
        <f>31.2%</f>
        <v>0.312</v>
      </c>
      <c r="P11" s="11">
        <v>0.3966</v>
      </c>
      <c r="Q11" s="11">
        <v>0.3704</v>
      </c>
      <c r="R11" s="11">
        <v>0.375</v>
      </c>
      <c r="S11" s="11">
        <v>0.3012</v>
      </c>
      <c r="T11" s="23"/>
      <c r="U11" s="11">
        <v>0.52</v>
      </c>
    </row>
    <row r="12" spans="1:21" s="13" customFormat="1" ht="27" customHeight="1">
      <c r="A12" s="163"/>
      <c r="B12" s="139"/>
      <c r="C12" s="7" t="s">
        <v>189</v>
      </c>
      <c r="D12" s="7"/>
      <c r="E12" s="8"/>
      <c r="F12" s="7"/>
      <c r="G12" s="14"/>
      <c r="H12" s="11">
        <v>0.1208</v>
      </c>
      <c r="I12" s="11">
        <v>0.1181</v>
      </c>
      <c r="J12" s="11">
        <v>0.0892</v>
      </c>
      <c r="K12" s="11">
        <v>0.0755</v>
      </c>
      <c r="L12" s="11">
        <v>0.0818</v>
      </c>
      <c r="M12" s="11">
        <v>0.0707</v>
      </c>
      <c r="N12" s="11">
        <f>42.28%</f>
        <v>0.4228</v>
      </c>
      <c r="O12" s="11">
        <f>31.5%</f>
        <v>0.315</v>
      </c>
      <c r="P12" s="11">
        <v>0.3866</v>
      </c>
      <c r="Q12" s="11">
        <v>0.3273</v>
      </c>
      <c r="R12" s="11">
        <v>0.36</v>
      </c>
      <c r="S12" s="11">
        <v>0.304</v>
      </c>
      <c r="T12" s="23"/>
      <c r="U12" s="11">
        <v>0.512</v>
      </c>
    </row>
    <row r="13" spans="1:21" s="13" customFormat="1" ht="27" customHeight="1">
      <c r="A13" s="163"/>
      <c r="B13" s="139"/>
      <c r="C13" s="7" t="s">
        <v>190</v>
      </c>
      <c r="D13" s="7"/>
      <c r="E13" s="8"/>
      <c r="F13" s="7"/>
      <c r="G13" s="14"/>
      <c r="H13" s="11">
        <v>0.1143</v>
      </c>
      <c r="I13" s="11">
        <v>0.1364</v>
      </c>
      <c r="J13" s="11">
        <v>0.0921</v>
      </c>
      <c r="K13" s="11">
        <v>0.1</v>
      </c>
      <c r="L13" s="11">
        <v>0.093</v>
      </c>
      <c r="M13" s="11">
        <v>0.0831</v>
      </c>
      <c r="N13" s="11">
        <f>49.53%</f>
        <v>0.4953</v>
      </c>
      <c r="O13" s="11">
        <f>47.74%</f>
        <v>0.47740000000000005</v>
      </c>
      <c r="P13" s="11">
        <v>0.3991</v>
      </c>
      <c r="Q13" s="11">
        <v>0.4998</v>
      </c>
      <c r="R13" s="11">
        <v>0.403</v>
      </c>
      <c r="S13" s="11">
        <v>0.3602</v>
      </c>
      <c r="T13" s="23"/>
      <c r="U13" s="11">
        <v>0.576</v>
      </c>
    </row>
    <row r="14" spans="1:20" s="13" customFormat="1" ht="27" customHeight="1">
      <c r="A14" s="155"/>
      <c r="B14" s="139"/>
      <c r="C14" s="7" t="s">
        <v>191</v>
      </c>
      <c r="D14" s="7"/>
      <c r="E14" s="8"/>
      <c r="F14" s="7"/>
      <c r="G14" s="14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3"/>
    </row>
    <row r="15" spans="1:20" s="13" customFormat="1" ht="29.25" customHeight="1">
      <c r="A15" s="7">
        <v>3</v>
      </c>
      <c r="B15" s="140" t="s">
        <v>37</v>
      </c>
      <c r="C15" s="141"/>
      <c r="D15" s="7" t="s">
        <v>38</v>
      </c>
      <c r="E15" s="8">
        <v>39448</v>
      </c>
      <c r="F15" s="7"/>
      <c r="G15" s="14"/>
      <c r="H15" s="11">
        <v>0.05</v>
      </c>
      <c r="I15" s="11">
        <v>0.276</v>
      </c>
      <c r="J15" s="11">
        <v>0.05</v>
      </c>
      <c r="K15" s="11">
        <v>0.081</v>
      </c>
      <c r="L15" s="11">
        <v>0.05</v>
      </c>
      <c r="M15" s="11">
        <v>0.05</v>
      </c>
      <c r="N15" s="109">
        <v>0.7</v>
      </c>
      <c r="O15" s="109">
        <v>0.68</v>
      </c>
      <c r="P15" s="109">
        <v>0.7</v>
      </c>
      <c r="Q15" s="109">
        <f>112.5%-0.4-0.06</f>
        <v>0.665</v>
      </c>
      <c r="R15" s="109">
        <v>0.7</v>
      </c>
      <c r="S15" s="109">
        <v>0.7</v>
      </c>
      <c r="T15" s="23" t="s">
        <v>256</v>
      </c>
    </row>
    <row r="16" spans="1:26" s="13" customFormat="1" ht="29.25" customHeight="1">
      <c r="A16" s="7">
        <v>4</v>
      </c>
      <c r="B16" s="7"/>
      <c r="C16" s="7" t="s">
        <v>100</v>
      </c>
      <c r="D16" s="7"/>
      <c r="E16" s="8"/>
      <c r="F16" s="7"/>
      <c r="G16" s="14"/>
      <c r="H16" s="11">
        <v>0.2438</v>
      </c>
      <c r="I16" s="11">
        <v>0.0412</v>
      </c>
      <c r="J16" s="11">
        <v>0.2438</v>
      </c>
      <c r="K16" s="11">
        <v>0.0734</v>
      </c>
      <c r="L16" s="11">
        <v>0.2438</v>
      </c>
      <c r="M16" s="11">
        <v>0.2438</v>
      </c>
      <c r="N16" s="11">
        <v>0.7013</v>
      </c>
      <c r="O16" s="11">
        <v>0.5265</v>
      </c>
      <c r="P16" s="11">
        <v>0.7013</v>
      </c>
      <c r="Q16" s="11">
        <v>0.6291</v>
      </c>
      <c r="R16" s="11">
        <v>0.7013</v>
      </c>
      <c r="S16" s="11">
        <v>0.7013</v>
      </c>
      <c r="T16" s="23"/>
      <c r="U16" s="11">
        <v>0.7013</v>
      </c>
      <c r="V16" s="11">
        <v>0.5265</v>
      </c>
      <c r="W16" s="11">
        <v>0.7013</v>
      </c>
      <c r="X16" s="11">
        <v>0.6291</v>
      </c>
      <c r="Y16" s="11">
        <v>0.7013</v>
      </c>
      <c r="Z16" s="11">
        <v>0.7013</v>
      </c>
    </row>
    <row r="17" spans="1:26" s="13" customFormat="1" ht="43.5" customHeight="1">
      <c r="A17" s="7">
        <v>5</v>
      </c>
      <c r="B17" s="7"/>
      <c r="C17" s="7" t="s">
        <v>43</v>
      </c>
      <c r="D17" s="7" t="s">
        <v>44</v>
      </c>
      <c r="E17" s="8">
        <v>39264</v>
      </c>
      <c r="F17" s="7"/>
      <c r="G17" s="14"/>
      <c r="H17" s="11">
        <v>0.2023</v>
      </c>
      <c r="I17" s="11">
        <v>0.0623</v>
      </c>
      <c r="J17" s="11">
        <v>0.2023</v>
      </c>
      <c r="K17" s="11">
        <v>0.15</v>
      </c>
      <c r="L17" s="11">
        <v>0.2023</v>
      </c>
      <c r="M17" s="11">
        <v>0.2023</v>
      </c>
      <c r="N17" s="109">
        <v>0.6648</v>
      </c>
      <c r="O17" s="109">
        <v>0.4463</v>
      </c>
      <c r="P17" s="109">
        <v>0.6648</v>
      </c>
      <c r="Q17" s="109">
        <v>0.605</v>
      </c>
      <c r="R17" s="109">
        <v>0.6648</v>
      </c>
      <c r="S17" s="109">
        <v>0.6648</v>
      </c>
      <c r="T17" s="23" t="s">
        <v>314</v>
      </c>
      <c r="U17" s="11">
        <v>0.8825</v>
      </c>
      <c r="V17" s="11">
        <v>0.844</v>
      </c>
      <c r="W17" s="11">
        <v>0.8825</v>
      </c>
      <c r="X17" s="11">
        <v>0.8975</v>
      </c>
      <c r="Y17" s="11">
        <v>0.8825</v>
      </c>
      <c r="Z17" s="11">
        <v>0.8825</v>
      </c>
    </row>
    <row r="18" spans="1:20" s="13" customFormat="1" ht="27" customHeight="1">
      <c r="A18" s="154">
        <v>6</v>
      </c>
      <c r="B18" s="154" t="s">
        <v>147</v>
      </c>
      <c r="C18" s="7" t="s">
        <v>148</v>
      </c>
      <c r="D18" s="7" t="s">
        <v>48</v>
      </c>
      <c r="E18" s="8">
        <v>39448</v>
      </c>
      <c r="F18" s="7"/>
      <c r="G18" s="14"/>
      <c r="H18" s="11">
        <v>0.1399</v>
      </c>
      <c r="I18" s="11">
        <v>0.1406</v>
      </c>
      <c r="J18" s="11">
        <v>0.1383</v>
      </c>
      <c r="K18" s="11">
        <v>0.1538</v>
      </c>
      <c r="L18" s="11">
        <v>0.1453</v>
      </c>
      <c r="M18" s="11">
        <v>0.1736</v>
      </c>
      <c r="N18" s="11">
        <v>0.3895</v>
      </c>
      <c r="O18" s="11">
        <v>0.3684</v>
      </c>
      <c r="P18" s="11">
        <v>0.3728</v>
      </c>
      <c r="Q18" s="11">
        <v>0.3958</v>
      </c>
      <c r="R18" s="11">
        <v>0.414</v>
      </c>
      <c r="S18" s="11">
        <v>0.4596</v>
      </c>
      <c r="T18" s="23"/>
    </row>
    <row r="19" spans="1:20" s="13" customFormat="1" ht="27" customHeight="1">
      <c r="A19" s="163"/>
      <c r="B19" s="163"/>
      <c r="C19" s="7" t="s">
        <v>149</v>
      </c>
      <c r="D19" s="7"/>
      <c r="E19" s="8"/>
      <c r="F19" s="7"/>
      <c r="G19" s="14"/>
      <c r="H19" s="11">
        <v>0.1399</v>
      </c>
      <c r="I19" s="11">
        <v>0.1406</v>
      </c>
      <c r="J19" s="11">
        <v>0.1387</v>
      </c>
      <c r="K19" s="11">
        <v>0.1538</v>
      </c>
      <c r="L19" s="11">
        <v>0.1453</v>
      </c>
      <c r="M19" s="11">
        <v>0.1736</v>
      </c>
      <c r="N19" s="11">
        <v>0.3895</v>
      </c>
      <c r="O19" s="11">
        <v>0.3684</v>
      </c>
      <c r="P19" s="11">
        <v>0.3728</v>
      </c>
      <c r="Q19" s="11">
        <v>0.3958</v>
      </c>
      <c r="R19" s="11">
        <v>0.414</v>
      </c>
      <c r="S19" s="11">
        <v>0.4596</v>
      </c>
      <c r="T19" s="23"/>
    </row>
    <row r="20" spans="1:20" s="13" customFormat="1" ht="27" customHeight="1">
      <c r="A20" s="163"/>
      <c r="B20" s="163"/>
      <c r="C20" s="7" t="s">
        <v>150</v>
      </c>
      <c r="D20" s="7"/>
      <c r="E20" s="8"/>
      <c r="F20" s="7"/>
      <c r="G20" s="14"/>
      <c r="H20" s="11">
        <v>0.1344</v>
      </c>
      <c r="I20" s="11">
        <v>0.1326</v>
      </c>
      <c r="J20" s="11">
        <v>0.1278</v>
      </c>
      <c r="K20" s="11">
        <v>0.1469</v>
      </c>
      <c r="L20" s="11">
        <v>0.1371</v>
      </c>
      <c r="M20" s="11">
        <v>0.1218</v>
      </c>
      <c r="N20" s="11">
        <v>0.379</v>
      </c>
      <c r="O20" s="11">
        <v>0.3554</v>
      </c>
      <c r="P20" s="11">
        <v>0.3623</v>
      </c>
      <c r="Q20" s="11">
        <v>0.3839</v>
      </c>
      <c r="R20" s="11">
        <v>0.4008</v>
      </c>
      <c r="S20" s="11">
        <v>0.4028</v>
      </c>
      <c r="T20" s="23"/>
    </row>
    <row r="21" spans="1:20" s="13" customFormat="1" ht="27" customHeight="1">
      <c r="A21" s="155"/>
      <c r="B21" s="155"/>
      <c r="C21" s="7" t="s">
        <v>151</v>
      </c>
      <c r="D21" s="7"/>
      <c r="E21" s="8"/>
      <c r="F21" s="7"/>
      <c r="G21" s="14"/>
      <c r="H21" s="11">
        <v>0.1338</v>
      </c>
      <c r="I21" s="11">
        <v>0.132</v>
      </c>
      <c r="J21" s="11">
        <v>0.1321</v>
      </c>
      <c r="K21" s="11">
        <v>0.1492</v>
      </c>
      <c r="L21" s="11">
        <v>0.1365</v>
      </c>
      <c r="M21" s="11">
        <v>0.1683</v>
      </c>
      <c r="N21" s="11">
        <v>0.3724</v>
      </c>
      <c r="O21" s="11">
        <v>0.3488</v>
      </c>
      <c r="P21" s="11">
        <v>0.3556</v>
      </c>
      <c r="Q21" s="11">
        <v>0.3802</v>
      </c>
      <c r="R21" s="11">
        <v>0.3942</v>
      </c>
      <c r="S21" s="11">
        <v>0.4433</v>
      </c>
      <c r="T21" s="23"/>
    </row>
    <row r="22" spans="1:26" s="13" customFormat="1" ht="27" customHeight="1">
      <c r="A22" s="7">
        <v>7</v>
      </c>
      <c r="B22" s="140" t="s">
        <v>56</v>
      </c>
      <c r="C22" s="141"/>
      <c r="D22" s="7" t="s">
        <v>57</v>
      </c>
      <c r="E22" s="8">
        <v>39448</v>
      </c>
      <c r="F22" s="7"/>
      <c r="G22" s="14"/>
      <c r="H22" s="11">
        <v>0.185</v>
      </c>
      <c r="I22" s="11">
        <v>0.2155</v>
      </c>
      <c r="J22" s="11">
        <v>0.185</v>
      </c>
      <c r="K22" s="11">
        <v>0.176</v>
      </c>
      <c r="L22" s="11">
        <v>0.185</v>
      </c>
      <c r="M22" s="11">
        <v>0.185</v>
      </c>
      <c r="N22" s="112">
        <f>49.94%+0.185</f>
        <v>0.6843999999999999</v>
      </c>
      <c r="O22" s="112">
        <v>0.4728</v>
      </c>
      <c r="P22" s="112">
        <f>49.94%+0.185</f>
        <v>0.6843999999999999</v>
      </c>
      <c r="Q22" s="112">
        <f>44.43%+0.176</f>
        <v>0.6203</v>
      </c>
      <c r="R22" s="112">
        <f>49.94%+0.185</f>
        <v>0.6843999999999999</v>
      </c>
      <c r="S22" s="112">
        <f>55.74%+0.185</f>
        <v>0.7424</v>
      </c>
      <c r="T22" s="23"/>
      <c r="U22" s="38">
        <v>0.4994</v>
      </c>
      <c r="V22" s="38">
        <v>0.2573</v>
      </c>
      <c r="W22" s="38">
        <v>0.4994</v>
      </c>
      <c r="X22" s="38">
        <v>0.4443</v>
      </c>
      <c r="Y22" s="38">
        <v>0.4994</v>
      </c>
      <c r="Z22" s="38">
        <v>0.5574</v>
      </c>
    </row>
    <row r="23" spans="1:20" s="13" customFormat="1" ht="33.75" customHeight="1">
      <c r="A23" s="154">
        <v>8</v>
      </c>
      <c r="B23" s="139" t="s">
        <v>122</v>
      </c>
      <c r="C23" s="7" t="s">
        <v>93</v>
      </c>
      <c r="D23" s="7" t="s">
        <v>60</v>
      </c>
      <c r="E23" s="8">
        <v>39448</v>
      </c>
      <c r="F23" s="7"/>
      <c r="G23" s="14"/>
      <c r="H23" s="11"/>
      <c r="I23" s="11"/>
      <c r="J23" s="11">
        <v>0.1982</v>
      </c>
      <c r="K23" s="11"/>
      <c r="L23" s="11"/>
      <c r="M23" s="11">
        <v>0.1982</v>
      </c>
      <c r="N23" s="97"/>
      <c r="O23" s="97"/>
      <c r="P23" s="109">
        <f>120.7%-0.18</f>
        <v>1.0270000000000001</v>
      </c>
      <c r="Q23" s="97"/>
      <c r="R23" s="97"/>
      <c r="S23" s="109">
        <f>120.7%-0.18</f>
        <v>1.0270000000000001</v>
      </c>
      <c r="T23" s="142" t="s">
        <v>312</v>
      </c>
    </row>
    <row r="24" spans="1:20" s="13" customFormat="1" ht="28.5" customHeight="1">
      <c r="A24" s="163"/>
      <c r="B24" s="139"/>
      <c r="C24" s="7" t="s">
        <v>94</v>
      </c>
      <c r="D24" s="7"/>
      <c r="E24" s="8"/>
      <c r="F24" s="7"/>
      <c r="G24" s="14"/>
      <c r="H24" s="11"/>
      <c r="I24" s="11"/>
      <c r="J24" s="11">
        <v>0.2129</v>
      </c>
      <c r="K24" s="11"/>
      <c r="L24" s="11"/>
      <c r="M24" s="11">
        <v>0.2129</v>
      </c>
      <c r="N24" s="97"/>
      <c r="O24" s="97"/>
      <c r="P24" s="109">
        <f>116.24%-0.21</f>
        <v>0.9523999999999999</v>
      </c>
      <c r="Q24" s="97"/>
      <c r="R24" s="97"/>
      <c r="S24" s="109">
        <f>116.24%-0.21</f>
        <v>0.9523999999999999</v>
      </c>
      <c r="T24" s="142"/>
    </row>
    <row r="25" spans="1:20" s="13" customFormat="1" ht="28.5" customHeight="1">
      <c r="A25" s="163"/>
      <c r="B25" s="139"/>
      <c r="C25" s="7" t="s">
        <v>95</v>
      </c>
      <c r="D25" s="7"/>
      <c r="E25" s="8"/>
      <c r="F25" s="7"/>
      <c r="G25" s="14"/>
      <c r="H25" s="11"/>
      <c r="I25" s="11"/>
      <c r="J25" s="11">
        <v>0.1743</v>
      </c>
      <c r="K25" s="11"/>
      <c r="L25" s="11"/>
      <c r="M25" s="11">
        <v>0.1743</v>
      </c>
      <c r="N25" s="97"/>
      <c r="O25" s="97"/>
      <c r="P25" s="109">
        <f>108.38%-0.17</f>
        <v>0.9137999999999998</v>
      </c>
      <c r="Q25" s="97"/>
      <c r="R25" s="97"/>
      <c r="S25" s="109">
        <f>108.38%-0.17</f>
        <v>0.9137999999999998</v>
      </c>
      <c r="T25" s="142"/>
    </row>
    <row r="26" spans="1:20" s="13" customFormat="1" ht="28.5" customHeight="1">
      <c r="A26" s="163"/>
      <c r="B26" s="139"/>
      <c r="C26" s="7" t="s">
        <v>96</v>
      </c>
      <c r="D26" s="7"/>
      <c r="E26" s="8"/>
      <c r="F26" s="7"/>
      <c r="G26" s="14"/>
      <c r="H26" s="11"/>
      <c r="I26" s="11"/>
      <c r="J26" s="11">
        <v>0.2129</v>
      </c>
      <c r="K26" s="11"/>
      <c r="L26" s="11"/>
      <c r="M26" s="11">
        <v>0.2129</v>
      </c>
      <c r="N26" s="97"/>
      <c r="O26" s="97"/>
      <c r="P26" s="109">
        <f>116.24%-0.21</f>
        <v>0.9523999999999999</v>
      </c>
      <c r="Q26" s="97"/>
      <c r="R26" s="97"/>
      <c r="S26" s="109">
        <f>116.24%-0.21</f>
        <v>0.9523999999999999</v>
      </c>
      <c r="T26" s="142"/>
    </row>
    <row r="27" spans="1:20" s="13" customFormat="1" ht="28.5" customHeight="1">
      <c r="A27" s="163"/>
      <c r="B27" s="139"/>
      <c r="C27" s="7" t="s">
        <v>97</v>
      </c>
      <c r="D27" s="7"/>
      <c r="E27" s="8"/>
      <c r="F27" s="7"/>
      <c r="G27" s="14"/>
      <c r="H27" s="11"/>
      <c r="I27" s="11"/>
      <c r="J27" s="11">
        <v>0.1983</v>
      </c>
      <c r="K27" s="11"/>
      <c r="L27" s="11"/>
      <c r="M27" s="11">
        <v>0.1983</v>
      </c>
      <c r="N27" s="97"/>
      <c r="O27" s="97"/>
      <c r="P27" s="109">
        <f>111.78%-0.18</f>
        <v>0.9378</v>
      </c>
      <c r="Q27" s="97"/>
      <c r="R27" s="97"/>
      <c r="S27" s="109">
        <f>111.78%-0.18</f>
        <v>0.9378</v>
      </c>
      <c r="T27" s="142"/>
    </row>
    <row r="28" spans="1:20" s="13" customFormat="1" ht="28.5" customHeight="1">
      <c r="A28" s="155"/>
      <c r="B28" s="139"/>
      <c r="C28" s="7" t="s">
        <v>98</v>
      </c>
      <c r="D28" s="7"/>
      <c r="E28" s="8"/>
      <c r="F28" s="7"/>
      <c r="G28" s="14"/>
      <c r="H28" s="11"/>
      <c r="I28" s="11"/>
      <c r="J28" s="11">
        <v>0.1983</v>
      </c>
      <c r="K28" s="11"/>
      <c r="L28" s="11"/>
      <c r="M28" s="11">
        <v>0.1983</v>
      </c>
      <c r="N28" s="97"/>
      <c r="O28" s="97"/>
      <c r="P28" s="109">
        <f>111.78%-0.18</f>
        <v>0.9378</v>
      </c>
      <c r="Q28" s="97"/>
      <c r="R28" s="97"/>
      <c r="S28" s="109">
        <f>111.78%-0.18</f>
        <v>0.9378</v>
      </c>
      <c r="T28" s="142"/>
    </row>
    <row r="29" spans="1:20" s="13" customFormat="1" ht="29.25" customHeight="1">
      <c r="A29" s="154">
        <v>9</v>
      </c>
      <c r="B29" s="139" t="s">
        <v>65</v>
      </c>
      <c r="C29" s="7" t="s">
        <v>124</v>
      </c>
      <c r="D29" s="7" t="s">
        <v>66</v>
      </c>
      <c r="E29" s="8">
        <v>39295</v>
      </c>
      <c r="F29" s="7"/>
      <c r="G29" s="14"/>
      <c r="H29" s="11">
        <v>0.056900000000000006</v>
      </c>
      <c r="I29" s="11">
        <v>0.06490000000000001</v>
      </c>
      <c r="J29" s="11">
        <v>0.05890000000000001</v>
      </c>
      <c r="K29" s="11">
        <v>0.06850000000000006</v>
      </c>
      <c r="L29" s="11">
        <v>0.05890000000000001</v>
      </c>
      <c r="M29" s="11">
        <v>0.06380000000000002</v>
      </c>
      <c r="N29" s="16">
        <v>0.4551</v>
      </c>
      <c r="O29" s="11">
        <v>0.5191</v>
      </c>
      <c r="P29" s="11">
        <v>0.4711</v>
      </c>
      <c r="Q29" s="11">
        <v>0.5479</v>
      </c>
      <c r="R29" s="11">
        <v>0.4711</v>
      </c>
      <c r="S29" s="11">
        <v>0.5108</v>
      </c>
      <c r="T29" s="23"/>
    </row>
    <row r="30" spans="1:20" s="13" customFormat="1" ht="29.25" customHeight="1">
      <c r="A30" s="163"/>
      <c r="B30" s="139"/>
      <c r="C30" s="7" t="s">
        <v>125</v>
      </c>
      <c r="D30" s="7"/>
      <c r="E30" s="8"/>
      <c r="F30" s="7"/>
      <c r="G30" s="14"/>
      <c r="H30" s="11">
        <v>0.046499999999999986</v>
      </c>
      <c r="I30" s="11">
        <v>0.03290000000000001</v>
      </c>
      <c r="J30" s="11">
        <v>0.04999999999999999</v>
      </c>
      <c r="K30" s="11">
        <v>0.0519</v>
      </c>
      <c r="L30" s="11">
        <v>0.04999999999999999</v>
      </c>
      <c r="M30" s="11">
        <v>0.054700000000000026</v>
      </c>
      <c r="N30" s="16">
        <v>0.3724</v>
      </c>
      <c r="O30" s="11">
        <v>0.2626</v>
      </c>
      <c r="P30" s="11">
        <v>0.4002</v>
      </c>
      <c r="Q30" s="11">
        <v>0.415</v>
      </c>
      <c r="R30" s="11">
        <v>0.4002</v>
      </c>
      <c r="S30" s="11">
        <v>0.4374</v>
      </c>
      <c r="T30" s="23"/>
    </row>
    <row r="31" spans="1:20" s="13" customFormat="1" ht="29.25" customHeight="1">
      <c r="A31" s="163"/>
      <c r="B31" s="139"/>
      <c r="C31" s="7" t="s">
        <v>126</v>
      </c>
      <c r="D31" s="7"/>
      <c r="E31" s="8"/>
      <c r="F31" s="7"/>
      <c r="G31" s="14"/>
      <c r="H31" s="11">
        <v>0.046499999999999986</v>
      </c>
      <c r="I31" s="11">
        <v>0.034900000000000014</v>
      </c>
      <c r="J31" s="11">
        <v>0.047699999999999965</v>
      </c>
      <c r="K31" s="11">
        <v>0.05119999999999997</v>
      </c>
      <c r="L31" s="11">
        <v>0.047699999999999965</v>
      </c>
      <c r="M31" s="11">
        <v>0.05230000000000001</v>
      </c>
      <c r="N31" s="16">
        <v>0.3724</v>
      </c>
      <c r="O31" s="11">
        <v>0.2796</v>
      </c>
      <c r="P31" s="11">
        <v>0.3817</v>
      </c>
      <c r="Q31" s="11">
        <v>0.4095</v>
      </c>
      <c r="R31" s="11">
        <v>0.3817</v>
      </c>
      <c r="S31" s="11">
        <v>0.4188</v>
      </c>
      <c r="T31" s="23"/>
    </row>
    <row r="32" spans="1:20" s="13" customFormat="1" ht="29.25" customHeight="1">
      <c r="A32" s="163"/>
      <c r="B32" s="139"/>
      <c r="C32" s="7" t="s">
        <v>127</v>
      </c>
      <c r="D32" s="7"/>
      <c r="E32" s="8"/>
      <c r="F32" s="7"/>
      <c r="G32" s="14"/>
      <c r="H32" s="11">
        <v>0.03610000000000002</v>
      </c>
      <c r="I32" s="11">
        <v>0.029200000000000004</v>
      </c>
      <c r="J32" s="11">
        <v>0.040200000000000014</v>
      </c>
      <c r="K32" s="11">
        <v>0.03759999999999997</v>
      </c>
      <c r="L32" s="11">
        <v>0.040200000000000014</v>
      </c>
      <c r="M32" s="11">
        <v>0.043099999999999916</v>
      </c>
      <c r="N32" s="16">
        <v>0.4693</v>
      </c>
      <c r="O32" s="11">
        <v>0.3803</v>
      </c>
      <c r="P32" s="11">
        <v>0.5502</v>
      </c>
      <c r="Q32" s="11">
        <v>0.5613</v>
      </c>
      <c r="R32" s="11">
        <v>0.5502</v>
      </c>
      <c r="S32" s="11">
        <v>0.5598</v>
      </c>
      <c r="T32" s="23"/>
    </row>
    <row r="33" spans="1:20" s="13" customFormat="1" ht="29.25" customHeight="1">
      <c r="A33" s="155"/>
      <c r="B33" s="139"/>
      <c r="C33" s="7" t="s">
        <v>128</v>
      </c>
      <c r="D33" s="7"/>
      <c r="E33" s="8"/>
      <c r="F33" s="7"/>
      <c r="G33" s="14"/>
      <c r="H33" s="11">
        <v>0.041100000000000025</v>
      </c>
      <c r="I33" s="11">
        <v>0.02839999999999998</v>
      </c>
      <c r="J33" s="11">
        <v>0.0413</v>
      </c>
      <c r="K33" s="11">
        <v>0.04159999999999997</v>
      </c>
      <c r="L33" s="11">
        <v>0.0413</v>
      </c>
      <c r="M33" s="11">
        <v>0.04200000000000004</v>
      </c>
      <c r="N33" s="16">
        <v>0.534</v>
      </c>
      <c r="O33" s="11">
        <v>0.3686</v>
      </c>
      <c r="P33" s="11">
        <v>0.5371</v>
      </c>
      <c r="Q33" s="11">
        <v>0.5415</v>
      </c>
      <c r="R33" s="11">
        <v>0.5371</v>
      </c>
      <c r="S33" s="11">
        <v>0.5459</v>
      </c>
      <c r="T33" s="23"/>
    </row>
    <row r="34" spans="1:20" s="13" customFormat="1" ht="29.25" customHeight="1">
      <c r="A34" s="154">
        <v>10</v>
      </c>
      <c r="B34" s="139" t="s">
        <v>123</v>
      </c>
      <c r="C34" s="7" t="s">
        <v>101</v>
      </c>
      <c r="D34" s="7" t="s">
        <v>69</v>
      </c>
      <c r="E34" s="8">
        <v>39264</v>
      </c>
      <c r="F34" s="7"/>
      <c r="G34" s="14"/>
      <c r="H34" s="11">
        <v>0.08950000000000002</v>
      </c>
      <c r="I34" s="11">
        <v>0.044999999999999984</v>
      </c>
      <c r="J34" s="11">
        <v>0.08950000000000002</v>
      </c>
      <c r="K34" s="11">
        <v>0.04100000000000001</v>
      </c>
      <c r="L34" s="11">
        <v>0.09749999999999998</v>
      </c>
      <c r="M34" s="11">
        <v>0.09400000000000003</v>
      </c>
      <c r="N34" s="11">
        <v>0.275</v>
      </c>
      <c r="O34" s="11">
        <v>0.173</v>
      </c>
      <c r="P34" s="11">
        <v>0.275</v>
      </c>
      <c r="Q34" s="11">
        <v>0.217</v>
      </c>
      <c r="R34" s="11">
        <v>0.285</v>
      </c>
      <c r="S34" s="11">
        <v>0.281</v>
      </c>
      <c r="T34" s="24" t="s">
        <v>106</v>
      </c>
    </row>
    <row r="35" spans="1:20" s="13" customFormat="1" ht="29.25" customHeight="1">
      <c r="A35" s="163"/>
      <c r="B35" s="139"/>
      <c r="C35" s="7" t="s">
        <v>102</v>
      </c>
      <c r="D35" s="7"/>
      <c r="E35" s="8"/>
      <c r="F35" s="7"/>
      <c r="G35" s="14"/>
      <c r="H35" s="11">
        <v>0.08149999999999999</v>
      </c>
      <c r="I35" s="11">
        <v>0.047000000000000014</v>
      </c>
      <c r="J35" s="11">
        <v>0.08149999999999999</v>
      </c>
      <c r="K35" s="11">
        <v>0.037000000000000005</v>
      </c>
      <c r="L35" s="11">
        <v>0.07849999999999999</v>
      </c>
      <c r="M35" s="11">
        <v>0.07899999999999999</v>
      </c>
      <c r="N35" s="11">
        <v>0.237</v>
      </c>
      <c r="O35" s="11">
        <v>0.17</v>
      </c>
      <c r="P35" s="11">
        <v>0.237</v>
      </c>
      <c r="Q35" s="11">
        <v>0.2</v>
      </c>
      <c r="R35" s="11">
        <v>0.244</v>
      </c>
      <c r="S35" s="11">
        <v>0.242</v>
      </c>
      <c r="T35" s="24" t="s">
        <v>107</v>
      </c>
    </row>
    <row r="36" spans="1:20" s="13" customFormat="1" ht="37.5" customHeight="1">
      <c r="A36" s="163"/>
      <c r="B36" s="139"/>
      <c r="C36" s="7" t="s">
        <v>103</v>
      </c>
      <c r="D36" s="7"/>
      <c r="E36" s="8"/>
      <c r="F36" s="7"/>
      <c r="G36" s="14"/>
      <c r="H36" s="11">
        <v>0.0865</v>
      </c>
      <c r="I36" s="11">
        <v>0.05689999999999999</v>
      </c>
      <c r="J36" s="11">
        <v>0.0865</v>
      </c>
      <c r="K36" s="11">
        <v>0.044999999999999984</v>
      </c>
      <c r="L36" s="11">
        <v>0.087</v>
      </c>
      <c r="M36" s="11">
        <v>0.08900000000000002</v>
      </c>
      <c r="N36" s="11">
        <v>0.225</v>
      </c>
      <c r="O36" s="11">
        <v>0.1525</v>
      </c>
      <c r="P36" s="11">
        <v>0.225</v>
      </c>
      <c r="Q36" s="11">
        <v>0.18</v>
      </c>
      <c r="R36" s="11">
        <v>0.237</v>
      </c>
      <c r="S36" s="11">
        <v>0.234</v>
      </c>
      <c r="T36" s="24" t="s">
        <v>108</v>
      </c>
    </row>
    <row r="37" spans="1:20" s="18" customFormat="1" ht="34.5" customHeight="1">
      <c r="A37" s="163"/>
      <c r="B37" s="139"/>
      <c r="C37" s="7" t="s">
        <v>104</v>
      </c>
      <c r="D37" s="17"/>
      <c r="E37" s="19"/>
      <c r="F37" s="17"/>
      <c r="G37" s="20"/>
      <c r="H37" s="11">
        <v>0.08099999999999999</v>
      </c>
      <c r="I37" s="11">
        <v>0.052500000000000005</v>
      </c>
      <c r="J37" s="11">
        <v>0.08099999999999999</v>
      </c>
      <c r="K37" s="11">
        <v>0.03899999999999998</v>
      </c>
      <c r="L37" s="11">
        <v>0.07350000000000001</v>
      </c>
      <c r="M37" s="11">
        <v>0.07999999999999999</v>
      </c>
      <c r="N37" s="11">
        <v>0.245</v>
      </c>
      <c r="O37" s="11">
        <v>0.165</v>
      </c>
      <c r="P37" s="11">
        <v>0.245</v>
      </c>
      <c r="Q37" s="11">
        <v>0.207</v>
      </c>
      <c r="R37" s="11">
        <v>0.2485</v>
      </c>
      <c r="S37" s="11">
        <v>0.248</v>
      </c>
      <c r="T37" s="24" t="s">
        <v>109</v>
      </c>
    </row>
    <row r="38" spans="1:20" s="13" customFormat="1" ht="44.25" customHeight="1">
      <c r="A38" s="155"/>
      <c r="B38" s="139"/>
      <c r="C38" s="7" t="s">
        <v>105</v>
      </c>
      <c r="D38" s="7"/>
      <c r="E38" s="8"/>
      <c r="F38" s="7"/>
      <c r="G38" s="14"/>
      <c r="H38" s="11">
        <v>0.08800000000000001</v>
      </c>
      <c r="I38" s="11">
        <v>0.042499999999999996</v>
      </c>
      <c r="J38" s="11">
        <v>0.08800000000000001</v>
      </c>
      <c r="K38" s="11">
        <v>0.03799999999999999</v>
      </c>
      <c r="L38" s="11">
        <v>0.08099999999999999</v>
      </c>
      <c r="M38" s="11">
        <v>0.08199999999999999</v>
      </c>
      <c r="N38" s="11">
        <v>0.203</v>
      </c>
      <c r="O38" s="11">
        <v>0.1175</v>
      </c>
      <c r="P38" s="11">
        <v>0.203</v>
      </c>
      <c r="Q38" s="11">
        <v>0.145</v>
      </c>
      <c r="R38" s="11">
        <v>0.21</v>
      </c>
      <c r="S38" s="11">
        <v>0.207</v>
      </c>
      <c r="T38" s="24" t="s">
        <v>110</v>
      </c>
    </row>
    <row r="39" spans="1:20" s="13" customFormat="1" ht="29.25" customHeight="1">
      <c r="A39" s="7">
        <v>11</v>
      </c>
      <c r="B39" s="140" t="s">
        <v>80</v>
      </c>
      <c r="C39" s="141"/>
      <c r="D39" s="7" t="s">
        <v>81</v>
      </c>
      <c r="E39" s="8">
        <v>39264</v>
      </c>
      <c r="F39" s="7"/>
      <c r="G39" s="14"/>
      <c r="H39" s="11">
        <v>0.12649999999999995</v>
      </c>
      <c r="I39" s="11">
        <v>0.1174</v>
      </c>
      <c r="J39" s="11">
        <v>0.12649999999999995</v>
      </c>
      <c r="K39" s="11">
        <v>0.125</v>
      </c>
      <c r="L39" s="11">
        <v>0.12649999999999995</v>
      </c>
      <c r="M39" s="11">
        <v>0.12649999999999995</v>
      </c>
      <c r="N39" s="11">
        <v>0.694</v>
      </c>
      <c r="O39" s="11">
        <v>0.5734</v>
      </c>
      <c r="P39" s="11">
        <v>0.694</v>
      </c>
      <c r="Q39" s="11">
        <v>0.695</v>
      </c>
      <c r="R39" s="11">
        <v>0.694</v>
      </c>
      <c r="S39" s="11">
        <v>0.694</v>
      </c>
      <c r="T39" s="23"/>
    </row>
    <row r="40" spans="1:20" s="13" customFormat="1" ht="84" customHeight="1">
      <c r="A40" s="147"/>
      <c r="B40" s="148"/>
      <c r="C40" s="148"/>
      <c r="D40" s="148"/>
      <c r="E40" s="148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27"/>
      <c r="T40" s="21"/>
    </row>
  </sheetData>
  <sheetProtection/>
  <mergeCells count="28">
    <mergeCell ref="A1:T1"/>
    <mergeCell ref="A2:A3"/>
    <mergeCell ref="B2:C3"/>
    <mergeCell ref="D2:D3"/>
    <mergeCell ref="E2:E3"/>
    <mergeCell ref="F2:F3"/>
    <mergeCell ref="G2:G3"/>
    <mergeCell ref="N2:S2"/>
    <mergeCell ref="T2:T3"/>
    <mergeCell ref="H2:M2"/>
    <mergeCell ref="B39:C39"/>
    <mergeCell ref="T23:T28"/>
    <mergeCell ref="A4:A6"/>
    <mergeCell ref="B4:B6"/>
    <mergeCell ref="T4:T6"/>
    <mergeCell ref="A7:A14"/>
    <mergeCell ref="B7:B14"/>
    <mergeCell ref="B15:C15"/>
    <mergeCell ref="A40:S40"/>
    <mergeCell ref="A18:A21"/>
    <mergeCell ref="B18:B21"/>
    <mergeCell ref="B22:C22"/>
    <mergeCell ref="A23:A28"/>
    <mergeCell ref="B23:B28"/>
    <mergeCell ref="A29:A33"/>
    <mergeCell ref="B29:B33"/>
    <mergeCell ref="A34:A38"/>
    <mergeCell ref="B34:B38"/>
  </mergeCells>
  <printOptions/>
  <pageMargins left="0.7086614173228347" right="0.5118110236220472" top="0.7480314960629921" bottom="0.5511811023622047" header="0.196850393700787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07"/>
  <sheetViews>
    <sheetView zoomScale="96" zoomScaleNormal="96" zoomScalePageLayoutView="0" workbookViewId="0" topLeftCell="A1">
      <pane xSplit="5" ySplit="5" topLeftCell="F1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15" sqref="I15:I16"/>
    </sheetView>
  </sheetViews>
  <sheetFormatPr defaultColWidth="9.28125" defaultRowHeight="12"/>
  <cols>
    <col min="1" max="2" width="3.00390625" style="1" customWidth="1"/>
    <col min="3" max="3" width="9.7109375" style="1" customWidth="1"/>
    <col min="4" max="4" width="11.421875" style="1" hidden="1" customWidth="1"/>
    <col min="5" max="5" width="4.421875" style="34" hidden="1" customWidth="1"/>
    <col min="6" max="8" width="6.00390625" style="2" customWidth="1"/>
    <col min="9" max="11" width="7.00390625" style="101" customWidth="1"/>
    <col min="12" max="14" width="6.00390625" style="67" customWidth="1"/>
    <col min="15" max="27" width="6.00390625" style="3" customWidth="1"/>
    <col min="28" max="16384" width="9.28125" style="1" customWidth="1"/>
  </cols>
  <sheetData>
    <row r="1" spans="1:27" s="4" customFormat="1" ht="29.25" customHeight="1">
      <c r="A1" s="158" t="s">
        <v>294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40"/>
    </row>
    <row r="2" spans="1:27" s="10" customFormat="1" ht="22.5" customHeight="1">
      <c r="A2" s="153" t="s">
        <v>0</v>
      </c>
      <c r="B2" s="113" t="s">
        <v>21</v>
      </c>
      <c r="C2" s="114"/>
      <c r="D2" s="126" t="s">
        <v>152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 t="s">
        <v>170</v>
      </c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 t="s">
        <v>175</v>
      </c>
    </row>
    <row r="3" spans="1:39" s="10" customFormat="1" ht="42.75" customHeight="1">
      <c r="A3" s="153"/>
      <c r="B3" s="92"/>
      <c r="C3" s="93"/>
      <c r="D3" s="153" t="s">
        <v>22</v>
      </c>
      <c r="E3" s="124" t="s">
        <v>14</v>
      </c>
      <c r="F3" s="125" t="s">
        <v>156</v>
      </c>
      <c r="G3" s="125"/>
      <c r="H3" s="125"/>
      <c r="I3" s="91" t="s">
        <v>157</v>
      </c>
      <c r="J3" s="91"/>
      <c r="K3" s="91"/>
      <c r="L3" s="90" t="s">
        <v>171</v>
      </c>
      <c r="M3" s="90"/>
      <c r="N3" s="90"/>
      <c r="O3" s="89" t="s">
        <v>158</v>
      </c>
      <c r="P3" s="89"/>
      <c r="Q3" s="89" t="s">
        <v>159</v>
      </c>
      <c r="R3" s="89"/>
      <c r="S3" s="89" t="s">
        <v>160</v>
      </c>
      <c r="T3" s="89"/>
      <c r="U3" s="89" t="s">
        <v>161</v>
      </c>
      <c r="V3" s="89"/>
      <c r="W3" s="89" t="s">
        <v>162</v>
      </c>
      <c r="X3" s="89"/>
      <c r="Y3" s="89" t="s">
        <v>163</v>
      </c>
      <c r="Z3" s="89"/>
      <c r="AA3" s="126"/>
      <c r="AB3" s="71" t="s">
        <v>158</v>
      </c>
      <c r="AC3" s="65" t="s">
        <v>159</v>
      </c>
      <c r="AD3" s="65" t="s">
        <v>160</v>
      </c>
      <c r="AE3" s="65" t="s">
        <v>161</v>
      </c>
      <c r="AF3" s="65" t="s">
        <v>162</v>
      </c>
      <c r="AG3" s="65" t="s">
        <v>163</v>
      </c>
      <c r="AM3" s="66"/>
    </row>
    <row r="4" spans="1:33" s="13" customFormat="1" ht="46.5" customHeight="1">
      <c r="A4" s="153"/>
      <c r="B4" s="92"/>
      <c r="C4" s="93"/>
      <c r="D4" s="153"/>
      <c r="E4" s="124"/>
      <c r="F4" s="125" t="s">
        <v>16</v>
      </c>
      <c r="G4" s="125" t="s">
        <v>165</v>
      </c>
      <c r="H4" s="125" t="s">
        <v>166</v>
      </c>
      <c r="I4" s="91" t="s">
        <v>164</v>
      </c>
      <c r="J4" s="91" t="s">
        <v>165</v>
      </c>
      <c r="K4" s="91" t="s">
        <v>166</v>
      </c>
      <c r="L4" s="94" t="s">
        <v>205</v>
      </c>
      <c r="M4" s="94" t="s">
        <v>206</v>
      </c>
      <c r="N4" s="90" t="s">
        <v>166</v>
      </c>
      <c r="O4" s="44" t="s">
        <v>167</v>
      </c>
      <c r="P4" s="44" t="s">
        <v>168</v>
      </c>
      <c r="Q4" s="44" t="s">
        <v>167</v>
      </c>
      <c r="R4" s="44" t="s">
        <v>168</v>
      </c>
      <c r="S4" s="44" t="s">
        <v>167</v>
      </c>
      <c r="T4" s="44" t="s">
        <v>168</v>
      </c>
      <c r="U4" s="44" t="s">
        <v>167</v>
      </c>
      <c r="V4" s="44" t="s">
        <v>168</v>
      </c>
      <c r="W4" s="44" t="s">
        <v>167</v>
      </c>
      <c r="X4" s="44" t="s">
        <v>168</v>
      </c>
      <c r="Y4" s="44" t="s">
        <v>167</v>
      </c>
      <c r="Z4" s="44" t="s">
        <v>168</v>
      </c>
      <c r="AA4" s="126"/>
      <c r="AB4" s="13">
        <f>18*0.25</f>
        <v>4.5</v>
      </c>
      <c r="AC4" s="13">
        <f>25*0.25</f>
        <v>6.25</v>
      </c>
      <c r="AD4" s="13">
        <f>18*0.25</f>
        <v>4.5</v>
      </c>
      <c r="AE4" s="13">
        <f>30*0.25</f>
        <v>7.5</v>
      </c>
      <c r="AF4" s="13">
        <f>35*0.25</f>
        <v>8.75</v>
      </c>
      <c r="AG4" s="13">
        <f>25*0.25</f>
        <v>6.25</v>
      </c>
    </row>
    <row r="5" spans="1:27" s="13" customFormat="1" ht="57.75" customHeight="1">
      <c r="A5" s="153"/>
      <c r="B5" s="115"/>
      <c r="C5" s="116"/>
      <c r="D5" s="7"/>
      <c r="E5" s="33"/>
      <c r="F5" s="125"/>
      <c r="G5" s="125"/>
      <c r="H5" s="125"/>
      <c r="I5" s="91"/>
      <c r="J5" s="91"/>
      <c r="K5" s="91"/>
      <c r="L5" s="94"/>
      <c r="M5" s="94"/>
      <c r="N5" s="90"/>
      <c r="O5" s="44" t="s">
        <v>169</v>
      </c>
      <c r="P5" s="44" t="s">
        <v>293</v>
      </c>
      <c r="Q5" s="44" t="s">
        <v>169</v>
      </c>
      <c r="R5" s="44" t="s">
        <v>292</v>
      </c>
      <c r="S5" s="44" t="s">
        <v>169</v>
      </c>
      <c r="T5" s="44" t="s">
        <v>292</v>
      </c>
      <c r="U5" s="44" t="s">
        <v>169</v>
      </c>
      <c r="V5" s="44" t="s">
        <v>292</v>
      </c>
      <c r="W5" s="44" t="s">
        <v>169</v>
      </c>
      <c r="X5" s="44" t="s">
        <v>292</v>
      </c>
      <c r="Y5" s="44" t="s">
        <v>169</v>
      </c>
      <c r="Z5" s="44" t="s">
        <v>292</v>
      </c>
      <c r="AA5" s="126"/>
    </row>
    <row r="6" spans="1:38" s="13" customFormat="1" ht="30.75" customHeight="1">
      <c r="A6" s="153">
        <v>1</v>
      </c>
      <c r="B6" s="153" t="s">
        <v>92</v>
      </c>
      <c r="C6" s="121" t="s">
        <v>153</v>
      </c>
      <c r="D6" s="7" t="s">
        <v>17</v>
      </c>
      <c r="E6" s="33">
        <v>39264</v>
      </c>
      <c r="F6" s="131">
        <v>0.67</v>
      </c>
      <c r="G6" s="131">
        <v>0.68</v>
      </c>
      <c r="H6" s="131">
        <v>0.72</v>
      </c>
      <c r="I6" s="132">
        <f>L6-F6</f>
        <v>0.06999999999999995</v>
      </c>
      <c r="J6" s="132">
        <f>M6-G6</f>
        <v>0.07999999999999996</v>
      </c>
      <c r="K6" s="132">
        <f>N6-H6</f>
        <v>0.08000000000000007</v>
      </c>
      <c r="L6" s="131">
        <v>0.74</v>
      </c>
      <c r="M6" s="131">
        <v>0.76</v>
      </c>
      <c r="N6" s="131">
        <v>0.8</v>
      </c>
      <c r="O6" s="7">
        <v>36</v>
      </c>
      <c r="P6" s="7">
        <f>O7-O6</f>
        <v>6</v>
      </c>
      <c r="Q6" s="7">
        <v>50</v>
      </c>
      <c r="R6" s="7">
        <f>Q7-Q6</f>
        <v>7</v>
      </c>
      <c r="S6" s="7">
        <v>38</v>
      </c>
      <c r="T6" s="7">
        <f>S7-S6</f>
        <v>6</v>
      </c>
      <c r="U6" s="7">
        <v>54</v>
      </c>
      <c r="V6" s="7">
        <f>U7-U6</f>
        <v>7</v>
      </c>
      <c r="W6" s="7">
        <v>70</v>
      </c>
      <c r="X6" s="7">
        <f>W7-W6</f>
        <v>10</v>
      </c>
      <c r="Y6" s="7">
        <v>50</v>
      </c>
      <c r="Z6" s="7">
        <f>Y7-Y6</f>
        <v>7</v>
      </c>
      <c r="AA6" s="7"/>
      <c r="AB6" s="13">
        <v>18</v>
      </c>
      <c r="AD6" s="13">
        <v>25</v>
      </c>
      <c r="AF6" s="13">
        <v>18</v>
      </c>
      <c r="AH6" s="13">
        <v>25</v>
      </c>
      <c r="AJ6" s="13">
        <v>35</v>
      </c>
      <c r="AL6" s="13">
        <v>25</v>
      </c>
    </row>
    <row r="7" spans="1:27" s="13" customFormat="1" ht="32.25" customHeight="1">
      <c r="A7" s="153"/>
      <c r="B7" s="153"/>
      <c r="C7" s="121"/>
      <c r="D7" s="7"/>
      <c r="E7" s="33"/>
      <c r="F7" s="131"/>
      <c r="G7" s="131"/>
      <c r="H7" s="131"/>
      <c r="I7" s="132"/>
      <c r="J7" s="132"/>
      <c r="K7" s="132"/>
      <c r="L7" s="131"/>
      <c r="M7" s="131"/>
      <c r="N7" s="131"/>
      <c r="O7" s="7">
        <v>42</v>
      </c>
      <c r="P7" s="43">
        <f>(O7-O6)/18</f>
        <v>0.3333333333333333</v>
      </c>
      <c r="Q7" s="7">
        <v>57</v>
      </c>
      <c r="R7" s="43">
        <f>(Q7-Q6)/25</f>
        <v>0.28</v>
      </c>
      <c r="S7" s="7">
        <v>44</v>
      </c>
      <c r="T7" s="43">
        <f>(S7-S6)/18</f>
        <v>0.3333333333333333</v>
      </c>
      <c r="U7" s="7">
        <v>61</v>
      </c>
      <c r="V7" s="43">
        <f>(U7-U6)/30</f>
        <v>0.23333333333333334</v>
      </c>
      <c r="W7" s="7">
        <v>80</v>
      </c>
      <c r="X7" s="43">
        <f>(W7-W6)/35</f>
        <v>0.2857142857142857</v>
      </c>
      <c r="Y7" s="7">
        <v>57</v>
      </c>
      <c r="Z7" s="43">
        <f>(Y7-Y6)/25</f>
        <v>0.28</v>
      </c>
      <c r="AA7" s="43"/>
    </row>
    <row r="8" spans="1:27" s="13" customFormat="1" ht="30.75" customHeight="1">
      <c r="A8" s="153"/>
      <c r="B8" s="153"/>
      <c r="C8" s="121" t="s">
        <v>154</v>
      </c>
      <c r="D8" s="7" t="s">
        <v>17</v>
      </c>
      <c r="E8" s="33">
        <v>39264</v>
      </c>
      <c r="F8" s="131">
        <v>0.62</v>
      </c>
      <c r="G8" s="131">
        <v>0.63</v>
      </c>
      <c r="H8" s="131">
        <v>0.67</v>
      </c>
      <c r="I8" s="132">
        <f>L8-F8</f>
        <v>0.06000000000000005</v>
      </c>
      <c r="J8" s="132">
        <f>M8-G8</f>
        <v>0.06999999999999995</v>
      </c>
      <c r="K8" s="132">
        <f>N8-H8</f>
        <v>0.06999999999999995</v>
      </c>
      <c r="L8" s="131">
        <v>0.68</v>
      </c>
      <c r="M8" s="131">
        <v>0.7</v>
      </c>
      <c r="N8" s="131">
        <v>0.74</v>
      </c>
      <c r="O8" s="7">
        <f>33-18*0.25</f>
        <v>28.5</v>
      </c>
      <c r="P8" s="7">
        <f>O9-O8</f>
        <v>10.5</v>
      </c>
      <c r="Q8" s="7">
        <f>47-25*0.25</f>
        <v>40.75</v>
      </c>
      <c r="R8" s="7">
        <f>Q9-Q8</f>
        <v>11.25</v>
      </c>
      <c r="S8" s="7">
        <f>35-0.25*18</f>
        <v>30.5</v>
      </c>
      <c r="T8" s="7">
        <f>S9-S8</f>
        <v>10.5</v>
      </c>
      <c r="U8" s="7">
        <f>50-0.25*30</f>
        <v>42.5</v>
      </c>
      <c r="V8" s="7">
        <f>U9-U8</f>
        <v>13.5</v>
      </c>
      <c r="W8" s="7">
        <f>65-35*0.25</f>
        <v>56.25</v>
      </c>
      <c r="X8" s="7">
        <f>W9-W8</f>
        <v>17.75</v>
      </c>
      <c r="Y8" s="7">
        <f>47-25*0.25</f>
        <v>40.75</v>
      </c>
      <c r="Z8" s="7">
        <f>Y9-Y8</f>
        <v>12.25</v>
      </c>
      <c r="AA8" s="7"/>
    </row>
    <row r="9" spans="1:27" s="13" customFormat="1" ht="24.75" customHeight="1">
      <c r="A9" s="153"/>
      <c r="B9" s="153"/>
      <c r="C9" s="121"/>
      <c r="D9" s="7"/>
      <c r="E9" s="33"/>
      <c r="F9" s="131"/>
      <c r="G9" s="131"/>
      <c r="H9" s="131"/>
      <c r="I9" s="132"/>
      <c r="J9" s="132"/>
      <c r="K9" s="132"/>
      <c r="L9" s="131"/>
      <c r="M9" s="131"/>
      <c r="N9" s="131"/>
      <c r="O9" s="7">
        <v>39</v>
      </c>
      <c r="P9" s="43">
        <f>P8/$AB$6</f>
        <v>0.5833333333333334</v>
      </c>
      <c r="Q9" s="7">
        <v>52</v>
      </c>
      <c r="R9" s="43">
        <f>R8/$AD$6</f>
        <v>0.45</v>
      </c>
      <c r="S9" s="7">
        <v>41</v>
      </c>
      <c r="T9" s="43">
        <f>T8/$AF$6</f>
        <v>0.5833333333333334</v>
      </c>
      <c r="U9" s="7">
        <v>56</v>
      </c>
      <c r="V9" s="43">
        <f>V8/$AH$6</f>
        <v>0.54</v>
      </c>
      <c r="W9" s="7">
        <v>74</v>
      </c>
      <c r="X9" s="43">
        <f>X8/$AJ$6</f>
        <v>0.5071428571428571</v>
      </c>
      <c r="Y9" s="7">
        <v>53</v>
      </c>
      <c r="Z9" s="43">
        <f>Z8/$AL$6</f>
        <v>0.49</v>
      </c>
      <c r="AA9" s="43"/>
    </row>
    <row r="10" spans="1:27" s="13" customFormat="1" ht="31.5" customHeight="1">
      <c r="A10" s="153"/>
      <c r="B10" s="153"/>
      <c r="C10" s="121" t="s">
        <v>155</v>
      </c>
      <c r="D10" s="7" t="s">
        <v>17</v>
      </c>
      <c r="E10" s="33">
        <v>39264</v>
      </c>
      <c r="F10" s="131">
        <v>0.55</v>
      </c>
      <c r="G10" s="131">
        <v>0.56</v>
      </c>
      <c r="H10" s="131">
        <v>0.59</v>
      </c>
      <c r="I10" s="132">
        <f>L10-F10</f>
        <v>0.05999999999999994</v>
      </c>
      <c r="J10" s="132">
        <f>M10-G10</f>
        <v>0.05999999999999994</v>
      </c>
      <c r="K10" s="132">
        <f>N10-H10</f>
        <v>0.07000000000000006</v>
      </c>
      <c r="L10" s="131">
        <v>0.61</v>
      </c>
      <c r="M10" s="131">
        <v>0.62</v>
      </c>
      <c r="N10" s="131">
        <v>0.66</v>
      </c>
      <c r="O10" s="7">
        <f>30-18*0.25</f>
        <v>25.5</v>
      </c>
      <c r="P10" s="7">
        <f>O11-O10</f>
        <v>9.5</v>
      </c>
      <c r="Q10" s="7">
        <f>41-25*0.25</f>
        <v>34.75</v>
      </c>
      <c r="R10" s="7">
        <f>Q11-Q10</f>
        <v>12.25</v>
      </c>
      <c r="S10" s="7">
        <f>31-0.25*18</f>
        <v>26.5</v>
      </c>
      <c r="T10" s="7">
        <f>S11-S10</f>
        <v>9.5</v>
      </c>
      <c r="U10" s="7">
        <f>44-0.25*30</f>
        <v>36.5</v>
      </c>
      <c r="V10" s="7">
        <f>U11-U10</f>
        <v>13.5</v>
      </c>
      <c r="W10" s="7">
        <f>57-35*0.25</f>
        <v>48.25</v>
      </c>
      <c r="X10" s="7">
        <f>W11-W10</f>
        <v>17.75</v>
      </c>
      <c r="Y10" s="7">
        <f>41-25*0.25</f>
        <v>34.75</v>
      </c>
      <c r="Z10" s="7">
        <f>Y11-Y10</f>
        <v>12.25</v>
      </c>
      <c r="AA10" s="7"/>
    </row>
    <row r="11" spans="1:27" s="13" customFormat="1" ht="26.25" customHeight="1">
      <c r="A11" s="153"/>
      <c r="B11" s="153"/>
      <c r="C11" s="121"/>
      <c r="D11" s="7"/>
      <c r="E11" s="33"/>
      <c r="F11" s="131"/>
      <c r="G11" s="131"/>
      <c r="H11" s="131"/>
      <c r="I11" s="132"/>
      <c r="J11" s="132"/>
      <c r="K11" s="132"/>
      <c r="L11" s="131"/>
      <c r="M11" s="131"/>
      <c r="N11" s="131"/>
      <c r="O11" s="7">
        <v>35</v>
      </c>
      <c r="P11" s="43">
        <f>P10/$AB$6</f>
        <v>0.5277777777777778</v>
      </c>
      <c r="Q11" s="7">
        <v>47</v>
      </c>
      <c r="R11" s="43">
        <f>R10/$AD$6</f>
        <v>0.49</v>
      </c>
      <c r="S11" s="7">
        <v>36</v>
      </c>
      <c r="T11" s="43">
        <f>T10/$AF$6</f>
        <v>0.5277777777777778</v>
      </c>
      <c r="U11" s="7">
        <v>50</v>
      </c>
      <c r="V11" s="43">
        <f>V10/$AH$6</f>
        <v>0.54</v>
      </c>
      <c r="W11" s="7">
        <v>66</v>
      </c>
      <c r="X11" s="43">
        <f>X10/$AJ$6</f>
        <v>0.5071428571428571</v>
      </c>
      <c r="Y11" s="7">
        <v>47</v>
      </c>
      <c r="Z11" s="43">
        <f>Z10/$AL$6</f>
        <v>0.49</v>
      </c>
      <c r="AA11" s="43"/>
    </row>
    <row r="12" spans="1:27" s="13" customFormat="1" ht="22.5" customHeight="1">
      <c r="A12" s="153">
        <v>2</v>
      </c>
      <c r="B12" s="153" t="s">
        <v>201</v>
      </c>
      <c r="C12" s="153"/>
      <c r="D12" s="7" t="s">
        <v>38</v>
      </c>
      <c r="E12" s="33">
        <v>39448</v>
      </c>
      <c r="F12" s="131">
        <v>0.384</v>
      </c>
      <c r="G12" s="131">
        <v>0.215</v>
      </c>
      <c r="H12" s="131">
        <v>0.307</v>
      </c>
      <c r="I12" s="49">
        <f>L12-F12</f>
        <v>0.5195</v>
      </c>
      <c r="J12" s="49">
        <f>M12-G12</f>
        <v>0.47430000000000005</v>
      </c>
      <c r="K12" s="49">
        <f>N12-H12</f>
        <v>0.49300000000000005</v>
      </c>
      <c r="L12" s="131">
        <v>0.9035</v>
      </c>
      <c r="M12" s="131">
        <v>0.6893</v>
      </c>
      <c r="N12" s="131">
        <v>0.8</v>
      </c>
      <c r="O12" s="45">
        <f>31.4</f>
        <v>31.4</v>
      </c>
      <c r="P12" s="7">
        <f>O13-O12</f>
        <v>7.399999999999999</v>
      </c>
      <c r="Q12" s="45">
        <f>43.15</f>
        <v>43.15</v>
      </c>
      <c r="R12" s="7">
        <f>Q13-Q12</f>
        <v>10.649999999999999</v>
      </c>
      <c r="S12" s="45">
        <f>O12</f>
        <v>31.4</v>
      </c>
      <c r="T12" s="7">
        <f>S13-S12</f>
        <v>3.5</v>
      </c>
      <c r="U12" s="45">
        <f>44.4</f>
        <v>44.4</v>
      </c>
      <c r="V12" s="7">
        <f>U13-U12</f>
        <v>4.100000000000001</v>
      </c>
      <c r="W12" s="45">
        <f>54.95</f>
        <v>54.95</v>
      </c>
      <c r="X12" s="7">
        <f>W13-W12</f>
        <v>12.950000000000003</v>
      </c>
      <c r="Y12" s="45">
        <f>40.85</f>
        <v>40.85</v>
      </c>
      <c r="Z12" s="7">
        <f>Y13-Y12</f>
        <v>10.449999999999996</v>
      </c>
      <c r="AA12" s="121" t="s">
        <v>202</v>
      </c>
    </row>
    <row r="13" spans="1:27" s="13" customFormat="1" ht="22.5" customHeight="1">
      <c r="A13" s="153"/>
      <c r="B13" s="153"/>
      <c r="C13" s="153"/>
      <c r="D13" s="7"/>
      <c r="E13" s="33"/>
      <c r="F13" s="131"/>
      <c r="G13" s="131"/>
      <c r="H13" s="131"/>
      <c r="I13" s="49"/>
      <c r="J13" s="49"/>
      <c r="K13" s="49"/>
      <c r="L13" s="131"/>
      <c r="M13" s="131"/>
      <c r="N13" s="131"/>
      <c r="O13" s="45">
        <v>38.8</v>
      </c>
      <c r="P13" s="43">
        <f>P12/$AB$6</f>
        <v>0.41111111111111104</v>
      </c>
      <c r="Q13" s="45">
        <v>53.8</v>
      </c>
      <c r="R13" s="43">
        <f>R12/$AD$6</f>
        <v>0.42599999999999993</v>
      </c>
      <c r="S13" s="45">
        <v>34.9</v>
      </c>
      <c r="T13" s="43">
        <f>T12/$AF$6</f>
        <v>0.19444444444444445</v>
      </c>
      <c r="U13" s="45">
        <v>48.5</v>
      </c>
      <c r="V13" s="43">
        <f>V12/$AH$6</f>
        <v>0.16400000000000006</v>
      </c>
      <c r="W13" s="45">
        <v>67.9</v>
      </c>
      <c r="X13" s="43">
        <f>X12/$AJ$6</f>
        <v>0.3700000000000001</v>
      </c>
      <c r="Y13" s="45">
        <v>51.3</v>
      </c>
      <c r="Z13" s="43">
        <f>Z12/$AL$6</f>
        <v>0.4179999999999998</v>
      </c>
      <c r="AA13" s="121"/>
    </row>
    <row r="14" spans="1:27" s="13" customFormat="1" ht="42.75" customHeight="1">
      <c r="A14" s="7">
        <v>3</v>
      </c>
      <c r="B14" s="153" t="s">
        <v>204</v>
      </c>
      <c r="C14" s="153"/>
      <c r="D14" s="7"/>
      <c r="E14" s="33"/>
      <c r="F14" s="38"/>
      <c r="G14" s="38"/>
      <c r="H14" s="38"/>
      <c r="I14" s="98"/>
      <c r="J14" s="98"/>
      <c r="K14" s="98"/>
      <c r="L14" s="38">
        <v>0.5642</v>
      </c>
      <c r="M14" s="38">
        <v>0.4564</v>
      </c>
      <c r="N14" s="38">
        <v>0.5389</v>
      </c>
      <c r="O14" s="45">
        <v>54.5</v>
      </c>
      <c r="P14" s="43"/>
      <c r="Q14" s="45">
        <v>75</v>
      </c>
      <c r="R14" s="43"/>
      <c r="S14" s="45">
        <v>54.5</v>
      </c>
      <c r="T14" s="43"/>
      <c r="U14" s="45">
        <v>72.5</v>
      </c>
      <c r="V14" s="43"/>
      <c r="W14" s="45">
        <v>98.75</v>
      </c>
      <c r="X14" s="43"/>
      <c r="Y14" s="45">
        <v>71.25</v>
      </c>
      <c r="Z14" s="43"/>
      <c r="AA14" s="44" t="s">
        <v>203</v>
      </c>
    </row>
    <row r="15" spans="1:27" s="13" customFormat="1" ht="18.75" customHeight="1">
      <c r="A15" s="153">
        <v>4</v>
      </c>
      <c r="B15" s="153" t="s">
        <v>28</v>
      </c>
      <c r="C15" s="96" t="s">
        <v>184</v>
      </c>
      <c r="D15" s="7" t="s">
        <v>29</v>
      </c>
      <c r="E15" s="33">
        <v>39448</v>
      </c>
      <c r="F15" s="95">
        <v>0.4152</v>
      </c>
      <c r="G15" s="95">
        <v>0.4344</v>
      </c>
      <c r="H15" s="95">
        <v>0.485</v>
      </c>
      <c r="I15" s="49">
        <f>L15-F15</f>
        <v>0.19140000000000001</v>
      </c>
      <c r="J15" s="49">
        <f>M15-G15</f>
        <v>0.12319999999999998</v>
      </c>
      <c r="K15" s="49">
        <f>N15-H15</f>
        <v>0.14700000000000002</v>
      </c>
      <c r="L15" s="131">
        <v>0.6066</v>
      </c>
      <c r="M15" s="131">
        <v>0.5576</v>
      </c>
      <c r="N15" s="131">
        <v>0.632</v>
      </c>
      <c r="O15" s="7">
        <v>35</v>
      </c>
      <c r="P15" s="7">
        <f>O16-O15</f>
        <v>5.5</v>
      </c>
      <c r="Q15" s="7">
        <v>49</v>
      </c>
      <c r="R15" s="7">
        <f>Q16-Q15</f>
        <v>12.25</v>
      </c>
      <c r="S15" s="7">
        <v>35</v>
      </c>
      <c r="T15" s="7">
        <f>S16-S15</f>
        <v>5.5</v>
      </c>
      <c r="U15" s="7">
        <v>51</v>
      </c>
      <c r="V15" s="7">
        <f>U16-U15</f>
        <v>12</v>
      </c>
      <c r="W15" s="7">
        <v>61</v>
      </c>
      <c r="X15" s="7">
        <f>W16-W15</f>
        <v>5.599999999999994</v>
      </c>
      <c r="Y15" s="7">
        <v>55.6</v>
      </c>
      <c r="Z15" s="7">
        <f>Y16-Y15</f>
        <v>5.600000000000001</v>
      </c>
      <c r="AA15" s="7"/>
    </row>
    <row r="16" spans="1:27" s="13" customFormat="1" ht="18.75" customHeight="1">
      <c r="A16" s="153"/>
      <c r="B16" s="153"/>
      <c r="C16" s="96"/>
      <c r="D16" s="7"/>
      <c r="E16" s="33"/>
      <c r="F16" s="95"/>
      <c r="G16" s="95"/>
      <c r="H16" s="95"/>
      <c r="I16" s="49"/>
      <c r="J16" s="49"/>
      <c r="K16" s="49"/>
      <c r="L16" s="131"/>
      <c r="M16" s="131"/>
      <c r="N16" s="131"/>
      <c r="O16" s="45">
        <v>40.5</v>
      </c>
      <c r="P16" s="43">
        <f>P15/$AB$6</f>
        <v>0.3055555555555556</v>
      </c>
      <c r="Q16" s="45">
        <v>61.25</v>
      </c>
      <c r="R16" s="43">
        <f>R15/$AD$6</f>
        <v>0.49</v>
      </c>
      <c r="S16" s="45">
        <v>40.5</v>
      </c>
      <c r="T16" s="43">
        <f>T15/$AF$6</f>
        <v>0.3055555555555556</v>
      </c>
      <c r="U16" s="45">
        <v>63</v>
      </c>
      <c r="V16" s="43">
        <f>V15/$AH$6</f>
        <v>0.48</v>
      </c>
      <c r="W16" s="45">
        <v>66.6</v>
      </c>
      <c r="X16" s="43">
        <f>X15/$AJ$6</f>
        <v>0.15999999999999984</v>
      </c>
      <c r="Y16" s="45">
        <v>61.2</v>
      </c>
      <c r="Z16" s="43">
        <f>Z15/$AL$6</f>
        <v>0.22400000000000006</v>
      </c>
      <c r="AA16" s="43"/>
    </row>
    <row r="17" spans="1:27" s="13" customFormat="1" ht="18.75" customHeight="1">
      <c r="A17" s="153"/>
      <c r="B17" s="153"/>
      <c r="C17" s="96" t="s">
        <v>185</v>
      </c>
      <c r="D17" s="7"/>
      <c r="E17" s="33"/>
      <c r="F17" s="95">
        <v>0.4034</v>
      </c>
      <c r="G17" s="95">
        <v>0.4256</v>
      </c>
      <c r="H17" s="95">
        <v>0.4437</v>
      </c>
      <c r="I17" s="49">
        <f>L17-F17</f>
        <v>0.20999999999999996</v>
      </c>
      <c r="J17" s="49">
        <f>M17-G17</f>
        <v>0.12740000000000007</v>
      </c>
      <c r="K17" s="49">
        <f>N17-H17</f>
        <v>0.1763</v>
      </c>
      <c r="L17" s="131">
        <v>0.6134</v>
      </c>
      <c r="M17" s="131">
        <v>0.553</v>
      </c>
      <c r="N17" s="131">
        <v>0.62</v>
      </c>
      <c r="O17" s="7">
        <v>33.18</v>
      </c>
      <c r="P17" s="7">
        <f>O18-O17</f>
        <v>6.82</v>
      </c>
      <c r="Q17" s="7">
        <v>46.75</v>
      </c>
      <c r="R17" s="7">
        <f>Q18-Q17</f>
        <v>14.990000000000002</v>
      </c>
      <c r="S17" s="7">
        <v>33.18</v>
      </c>
      <c r="T17" s="7">
        <f>S18-S17</f>
        <v>6.82</v>
      </c>
      <c r="U17" s="7">
        <v>49.76</v>
      </c>
      <c r="V17" s="7">
        <f>U18-U17</f>
        <v>6.940000000000005</v>
      </c>
      <c r="W17" s="7">
        <v>58.95</v>
      </c>
      <c r="X17" s="7">
        <f>W18-W17</f>
        <v>7.6499999999999915</v>
      </c>
      <c r="Y17" s="7">
        <v>51.72</v>
      </c>
      <c r="Z17" s="7">
        <f>Y18-Y17</f>
        <v>8.480000000000004</v>
      </c>
      <c r="AA17" s="7"/>
    </row>
    <row r="18" spans="1:27" s="13" customFormat="1" ht="18.75" customHeight="1">
      <c r="A18" s="153"/>
      <c r="B18" s="153"/>
      <c r="C18" s="96"/>
      <c r="D18" s="7"/>
      <c r="E18" s="33"/>
      <c r="F18" s="95"/>
      <c r="G18" s="95"/>
      <c r="H18" s="95"/>
      <c r="I18" s="49"/>
      <c r="J18" s="49"/>
      <c r="K18" s="49"/>
      <c r="L18" s="131"/>
      <c r="M18" s="131"/>
      <c r="N18" s="131"/>
      <c r="O18" s="45">
        <v>40</v>
      </c>
      <c r="P18" s="43">
        <f>P17/$AB$6</f>
        <v>0.3788888888888889</v>
      </c>
      <c r="Q18" s="45">
        <v>61.74</v>
      </c>
      <c r="R18" s="43">
        <f>R17/$AD$6</f>
        <v>0.5996000000000001</v>
      </c>
      <c r="S18" s="45">
        <v>40</v>
      </c>
      <c r="T18" s="43">
        <f>T17/$AF$6</f>
        <v>0.3788888888888889</v>
      </c>
      <c r="U18" s="45">
        <v>56.7</v>
      </c>
      <c r="V18" s="43">
        <f>V17/$AH$6</f>
        <v>0.2776000000000002</v>
      </c>
      <c r="W18" s="45">
        <v>66.6</v>
      </c>
      <c r="X18" s="43">
        <f>X17/$AJ$6</f>
        <v>0.21857142857142833</v>
      </c>
      <c r="Y18" s="45">
        <v>60.2</v>
      </c>
      <c r="Z18" s="43">
        <f>Z17/$AL$6</f>
        <v>0.33920000000000017</v>
      </c>
      <c r="AA18" s="43"/>
    </row>
    <row r="19" spans="1:27" s="13" customFormat="1" ht="18.75" customHeight="1">
      <c r="A19" s="153"/>
      <c r="B19" s="153"/>
      <c r="C19" s="96" t="s">
        <v>186</v>
      </c>
      <c r="D19" s="7"/>
      <c r="E19" s="33"/>
      <c r="F19" s="95">
        <v>0.3422</v>
      </c>
      <c r="G19" s="95">
        <v>0.3323</v>
      </c>
      <c r="H19" s="95">
        <v>0.36</v>
      </c>
      <c r="I19" s="49">
        <f>L19-F19</f>
        <v>0.2152</v>
      </c>
      <c r="J19" s="49">
        <f>M19-G19</f>
        <v>0.20600000000000002</v>
      </c>
      <c r="K19" s="49">
        <f>N19-H19</f>
        <v>0.18720000000000003</v>
      </c>
      <c r="L19" s="131">
        <v>0.5574</v>
      </c>
      <c r="M19" s="131">
        <v>0.5383</v>
      </c>
      <c r="N19" s="131">
        <v>0.5472</v>
      </c>
      <c r="O19" s="7">
        <v>32.1</v>
      </c>
      <c r="P19" s="7">
        <f>O20-O19</f>
        <v>4.899999999999999</v>
      </c>
      <c r="Q19" s="7">
        <v>47.65</v>
      </c>
      <c r="R19" s="7">
        <f>Q20-Q19</f>
        <v>13.25</v>
      </c>
      <c r="S19" s="7">
        <v>32.1</v>
      </c>
      <c r="T19" s="7">
        <f>S20-S19</f>
        <v>4.899999999999999</v>
      </c>
      <c r="U19" s="7">
        <v>49.5</v>
      </c>
      <c r="V19" s="7">
        <f>U20-U19</f>
        <v>7.380000000000003</v>
      </c>
      <c r="W19" s="7">
        <v>57.5</v>
      </c>
      <c r="X19" s="7">
        <f>W20-W19</f>
        <v>6.490000000000002</v>
      </c>
      <c r="Y19" s="7">
        <v>51.25</v>
      </c>
      <c r="Z19" s="7">
        <f>Y20-Y19</f>
        <v>1.3699999999999974</v>
      </c>
      <c r="AA19" s="7"/>
    </row>
    <row r="20" spans="1:27" s="13" customFormat="1" ht="18.75" customHeight="1">
      <c r="A20" s="153"/>
      <c r="B20" s="153"/>
      <c r="C20" s="96"/>
      <c r="D20" s="7"/>
      <c r="E20" s="33"/>
      <c r="F20" s="95"/>
      <c r="G20" s="95"/>
      <c r="H20" s="95"/>
      <c r="I20" s="49"/>
      <c r="J20" s="49"/>
      <c r="K20" s="49"/>
      <c r="L20" s="131"/>
      <c r="M20" s="131"/>
      <c r="N20" s="131"/>
      <c r="O20" s="45">
        <v>37</v>
      </c>
      <c r="P20" s="43">
        <f>P19/$AB$6</f>
        <v>0.27222222222222214</v>
      </c>
      <c r="Q20" s="45">
        <v>60.9</v>
      </c>
      <c r="R20" s="43">
        <f>R19/$AD$6</f>
        <v>0.53</v>
      </c>
      <c r="S20" s="45">
        <v>37</v>
      </c>
      <c r="T20" s="43">
        <f>T19/$AF$6</f>
        <v>0.27222222222222214</v>
      </c>
      <c r="U20" s="45">
        <v>56.88</v>
      </c>
      <c r="V20" s="43">
        <f>V19/$AH$6</f>
        <v>0.29520000000000013</v>
      </c>
      <c r="W20" s="45">
        <v>63.99</v>
      </c>
      <c r="X20" s="43">
        <f>X19/$AJ$6</f>
        <v>0.1854285714285715</v>
      </c>
      <c r="Y20" s="45">
        <v>52.62</v>
      </c>
      <c r="Z20" s="43">
        <f>Z19/$AL$6</f>
        <v>0.0547999999999999</v>
      </c>
      <c r="AA20" s="43"/>
    </row>
    <row r="21" spans="1:27" s="13" customFormat="1" ht="18.75" customHeight="1">
      <c r="A21" s="153"/>
      <c r="B21" s="153"/>
      <c r="C21" s="96" t="s">
        <v>187</v>
      </c>
      <c r="D21" s="7"/>
      <c r="E21" s="33"/>
      <c r="F21" s="95">
        <v>0.3216</v>
      </c>
      <c r="G21" s="95">
        <v>0.303</v>
      </c>
      <c r="H21" s="95">
        <v>0.3432</v>
      </c>
      <c r="I21" s="49">
        <f>L21-F21</f>
        <v>0.19440000000000002</v>
      </c>
      <c r="J21" s="49">
        <f>M21-G21</f>
        <v>0.2394</v>
      </c>
      <c r="K21" s="49">
        <f>N21-H21</f>
        <v>0.19280000000000003</v>
      </c>
      <c r="L21" s="131">
        <v>0.516</v>
      </c>
      <c r="M21" s="131">
        <v>0.5424</v>
      </c>
      <c r="N21" s="131">
        <v>0.536</v>
      </c>
      <c r="O21" s="45">
        <v>32.1</v>
      </c>
      <c r="P21" s="7">
        <f>O22-O21</f>
        <v>3.8999999999999986</v>
      </c>
      <c r="Q21" s="45">
        <v>46.41</v>
      </c>
      <c r="R21" s="7">
        <f>Q22-Q21</f>
        <v>14.39</v>
      </c>
      <c r="S21" s="45">
        <v>32.1</v>
      </c>
      <c r="T21" s="7">
        <f>S22-S21</f>
        <v>3.8999999999999986</v>
      </c>
      <c r="U21" s="45">
        <v>48.25</v>
      </c>
      <c r="V21" s="7">
        <f>U22-U21</f>
        <v>6.850000000000001</v>
      </c>
      <c r="W21" s="45">
        <v>56.04</v>
      </c>
      <c r="X21" s="7">
        <f>W22-W21</f>
        <v>5.160000000000004</v>
      </c>
      <c r="Y21" s="45">
        <v>49.9</v>
      </c>
      <c r="Z21" s="7">
        <f>Y22-Y21</f>
        <v>3.700000000000003</v>
      </c>
      <c r="AA21" s="7"/>
    </row>
    <row r="22" spans="1:27" s="13" customFormat="1" ht="18.75" customHeight="1">
      <c r="A22" s="153"/>
      <c r="B22" s="153"/>
      <c r="C22" s="96"/>
      <c r="D22" s="7"/>
      <c r="E22" s="33"/>
      <c r="F22" s="95"/>
      <c r="G22" s="95"/>
      <c r="H22" s="95"/>
      <c r="I22" s="49"/>
      <c r="J22" s="49"/>
      <c r="K22" s="49"/>
      <c r="L22" s="131"/>
      <c r="M22" s="131"/>
      <c r="N22" s="131"/>
      <c r="O22" s="45">
        <v>36</v>
      </c>
      <c r="P22" s="43">
        <f>P21/$AB$6</f>
        <v>0.2166666666666666</v>
      </c>
      <c r="Q22" s="45">
        <v>60.8</v>
      </c>
      <c r="R22" s="43">
        <f>R21/$AD$6</f>
        <v>0.5756</v>
      </c>
      <c r="S22" s="45">
        <v>36</v>
      </c>
      <c r="T22" s="43">
        <f>T21/$AF$6</f>
        <v>0.2166666666666666</v>
      </c>
      <c r="U22" s="45">
        <v>55.1</v>
      </c>
      <c r="V22" s="43">
        <f>V21/$AH$6</f>
        <v>0.2740000000000001</v>
      </c>
      <c r="W22" s="45">
        <v>61.2</v>
      </c>
      <c r="X22" s="43">
        <f>X21/$AJ$6</f>
        <v>0.14742857142857155</v>
      </c>
      <c r="Y22" s="45">
        <v>53.6</v>
      </c>
      <c r="Z22" s="43">
        <f>Z21/$AL$6</f>
        <v>0.1480000000000001</v>
      </c>
      <c r="AA22" s="43"/>
    </row>
    <row r="23" spans="1:27" s="13" customFormat="1" ht="18.75" customHeight="1">
      <c r="A23" s="153"/>
      <c r="B23" s="153"/>
      <c r="C23" s="96" t="s">
        <v>188</v>
      </c>
      <c r="D23" s="7"/>
      <c r="E23" s="33"/>
      <c r="F23" s="95">
        <v>0.3284</v>
      </c>
      <c r="G23" s="95">
        <v>0.3112</v>
      </c>
      <c r="H23" s="95">
        <v>0.3414</v>
      </c>
      <c r="I23" s="49">
        <f>L23-F23</f>
        <v>0.25759999999999994</v>
      </c>
      <c r="J23" s="49">
        <f>M23-G23</f>
        <v>0.1809</v>
      </c>
      <c r="K23" s="49">
        <f>N23-H23</f>
        <v>0.17860000000000004</v>
      </c>
      <c r="L23" s="131">
        <v>0.586</v>
      </c>
      <c r="M23" s="131">
        <v>0.4921</v>
      </c>
      <c r="N23" s="131">
        <v>0.52</v>
      </c>
      <c r="O23" s="45">
        <v>32.1</v>
      </c>
      <c r="P23" s="7">
        <f>O24-O23</f>
        <v>6.869999999999997</v>
      </c>
      <c r="Q23" s="45">
        <v>46.82</v>
      </c>
      <c r="R23" s="7">
        <f>Q24-Q23</f>
        <v>13.880000000000003</v>
      </c>
      <c r="S23" s="45">
        <v>32.1</v>
      </c>
      <c r="T23" s="7">
        <f>S24-S23</f>
        <v>6.869999999999997</v>
      </c>
      <c r="U23" s="45">
        <v>48.6</v>
      </c>
      <c r="V23" s="7">
        <f>U24-U23</f>
        <v>4.399999999999999</v>
      </c>
      <c r="W23" s="45">
        <v>56.45</v>
      </c>
      <c r="X23" s="7">
        <f>W24-W23</f>
        <v>5.549999999999997</v>
      </c>
      <c r="Y23" s="45">
        <v>50.35</v>
      </c>
      <c r="Z23" s="7">
        <f>Y24-Y23</f>
        <v>0.6499999999999986</v>
      </c>
      <c r="AA23" s="7"/>
    </row>
    <row r="24" spans="1:27" s="13" customFormat="1" ht="18.75" customHeight="1">
      <c r="A24" s="153"/>
      <c r="B24" s="153"/>
      <c r="C24" s="96"/>
      <c r="D24" s="7"/>
      <c r="E24" s="33"/>
      <c r="F24" s="95"/>
      <c r="G24" s="95"/>
      <c r="H24" s="95"/>
      <c r="I24" s="49"/>
      <c r="J24" s="49"/>
      <c r="K24" s="49"/>
      <c r="L24" s="131"/>
      <c r="M24" s="131"/>
      <c r="N24" s="131"/>
      <c r="O24" s="45">
        <v>38.97</v>
      </c>
      <c r="P24" s="43">
        <f>P23/$AB$6</f>
        <v>0.38166666666666654</v>
      </c>
      <c r="Q24" s="45">
        <v>60.7</v>
      </c>
      <c r="R24" s="43">
        <f>R23/$AD$6</f>
        <v>0.5552000000000001</v>
      </c>
      <c r="S24" s="45">
        <v>38.97</v>
      </c>
      <c r="T24" s="43">
        <f>T23/$AF$6</f>
        <v>0.38166666666666654</v>
      </c>
      <c r="U24" s="45">
        <v>53</v>
      </c>
      <c r="V24" s="43">
        <f>V23/$AH$6</f>
        <v>0.17599999999999993</v>
      </c>
      <c r="W24" s="45">
        <v>62</v>
      </c>
      <c r="X24" s="43">
        <f>X23/$AJ$6</f>
        <v>0.1585714285714285</v>
      </c>
      <c r="Y24" s="45">
        <v>51</v>
      </c>
      <c r="Z24" s="43">
        <f>Z23/$AL$6</f>
        <v>0.025999999999999943</v>
      </c>
      <c r="AA24" s="43"/>
    </row>
    <row r="25" spans="1:27" s="13" customFormat="1" ht="18.75" customHeight="1">
      <c r="A25" s="153"/>
      <c r="B25" s="153"/>
      <c r="C25" s="96" t="s">
        <v>189</v>
      </c>
      <c r="D25" s="7"/>
      <c r="E25" s="33"/>
      <c r="F25" s="95">
        <v>0.328</v>
      </c>
      <c r="G25" s="95">
        <v>0.3322</v>
      </c>
      <c r="H25" s="48">
        <v>0.3551</v>
      </c>
      <c r="I25" s="49">
        <f>L25-F25</f>
        <v>0.20669999999999994</v>
      </c>
      <c r="J25" s="49">
        <f>M25-G25</f>
        <v>0.2051</v>
      </c>
      <c r="K25" s="49">
        <f>N25-H25</f>
        <v>0.15689999999999998</v>
      </c>
      <c r="L25" s="131">
        <v>0.5347</v>
      </c>
      <c r="M25" s="131">
        <v>0.5373</v>
      </c>
      <c r="N25" s="131">
        <v>0.512</v>
      </c>
      <c r="O25" s="45">
        <v>32.1</v>
      </c>
      <c r="P25" s="7">
        <f>O26-O25</f>
        <v>6.600000000000001</v>
      </c>
      <c r="Q25" s="45">
        <v>46.82</v>
      </c>
      <c r="R25" s="7">
        <f>Q26-Q25</f>
        <v>12.18</v>
      </c>
      <c r="S25" s="45">
        <v>32.1</v>
      </c>
      <c r="T25" s="7">
        <f>S26-S25</f>
        <v>6.600000000000001</v>
      </c>
      <c r="U25" s="45">
        <v>48.66</v>
      </c>
      <c r="V25" s="7">
        <f>U26-U25</f>
        <v>5.740000000000002</v>
      </c>
      <c r="W25" s="45">
        <v>56.53</v>
      </c>
      <c r="X25" s="7">
        <f>W26-W25</f>
        <v>6.170000000000002</v>
      </c>
      <c r="Y25" s="45">
        <v>50.55</v>
      </c>
      <c r="Z25" s="7">
        <f>Y26-Y25</f>
        <v>2.6500000000000057</v>
      </c>
      <c r="AA25" s="7"/>
    </row>
    <row r="26" spans="1:27" s="13" customFormat="1" ht="18.75" customHeight="1">
      <c r="A26" s="153"/>
      <c r="B26" s="153"/>
      <c r="C26" s="96"/>
      <c r="D26" s="7"/>
      <c r="E26" s="33"/>
      <c r="F26" s="95"/>
      <c r="G26" s="95"/>
      <c r="H26" s="48"/>
      <c r="I26" s="49"/>
      <c r="J26" s="49"/>
      <c r="K26" s="49"/>
      <c r="L26" s="131"/>
      <c r="M26" s="131"/>
      <c r="N26" s="131"/>
      <c r="O26" s="45">
        <v>38.7</v>
      </c>
      <c r="P26" s="43">
        <f>P25/$AB$6</f>
        <v>0.36666666666666675</v>
      </c>
      <c r="Q26" s="45">
        <v>59</v>
      </c>
      <c r="R26" s="43">
        <f>R25/$AD$6</f>
        <v>0.48719999999999997</v>
      </c>
      <c r="S26" s="45">
        <v>38.7</v>
      </c>
      <c r="T26" s="43">
        <f>T25/$AF$6</f>
        <v>0.36666666666666675</v>
      </c>
      <c r="U26" s="45">
        <v>54.4</v>
      </c>
      <c r="V26" s="43">
        <f>V25/$AH$6</f>
        <v>0.22960000000000008</v>
      </c>
      <c r="W26" s="45">
        <v>62.7</v>
      </c>
      <c r="X26" s="43">
        <f>X25/$AJ$6</f>
        <v>0.17628571428571432</v>
      </c>
      <c r="Y26" s="45">
        <v>53.2</v>
      </c>
      <c r="Z26" s="43">
        <f>Z25/$AL$6</f>
        <v>0.10600000000000023</v>
      </c>
      <c r="AA26" s="43"/>
    </row>
    <row r="27" spans="1:27" s="13" customFormat="1" ht="18.75" customHeight="1">
      <c r="A27" s="153"/>
      <c r="B27" s="153"/>
      <c r="C27" s="96" t="s">
        <v>190</v>
      </c>
      <c r="D27" s="7"/>
      <c r="E27" s="33"/>
      <c r="F27" s="95">
        <v>0.3354</v>
      </c>
      <c r="G27" s="95">
        <v>0.3028</v>
      </c>
      <c r="H27" s="95">
        <v>0.3597</v>
      </c>
      <c r="I27" s="49">
        <f>L27-F27</f>
        <v>0.26420000000000005</v>
      </c>
      <c r="J27" s="49">
        <f>M27-G27</f>
        <v>0.19939999999999997</v>
      </c>
      <c r="K27" s="49">
        <f>N27-H27</f>
        <v>0.21629999999999994</v>
      </c>
      <c r="L27" s="131">
        <v>0.5996</v>
      </c>
      <c r="M27" s="131">
        <v>0.5022</v>
      </c>
      <c r="N27" s="131">
        <v>0.576</v>
      </c>
      <c r="O27" s="45">
        <v>32.1</v>
      </c>
      <c r="P27" s="7">
        <f>O28-O27</f>
        <v>9.899999999999999</v>
      </c>
      <c r="Q27" s="45">
        <v>47.22</v>
      </c>
      <c r="R27" s="7">
        <f>Q28-Q27</f>
        <v>12.780000000000001</v>
      </c>
      <c r="S27" s="45">
        <v>32.1</v>
      </c>
      <c r="T27" s="7">
        <f>S28-S27</f>
        <v>9.899999999999999</v>
      </c>
      <c r="U27" s="45">
        <v>48.24</v>
      </c>
      <c r="V27" s="7">
        <f>U28-U27</f>
        <v>11.259999999999998</v>
      </c>
      <c r="W27" s="45">
        <v>56.04</v>
      </c>
      <c r="X27" s="7">
        <f>W28-W27</f>
        <v>8.96</v>
      </c>
      <c r="Y27" s="45">
        <v>50.8</v>
      </c>
      <c r="Z27" s="7">
        <f>Y28-Y27</f>
        <v>10.200000000000003</v>
      </c>
      <c r="AA27" s="7"/>
    </row>
    <row r="28" spans="1:27" s="13" customFormat="1" ht="24" customHeight="1">
      <c r="A28" s="153"/>
      <c r="B28" s="153"/>
      <c r="C28" s="96"/>
      <c r="D28" s="7"/>
      <c r="E28" s="33"/>
      <c r="F28" s="95"/>
      <c r="G28" s="95"/>
      <c r="H28" s="95"/>
      <c r="I28" s="49"/>
      <c r="J28" s="49"/>
      <c r="K28" s="49"/>
      <c r="L28" s="131"/>
      <c r="M28" s="131"/>
      <c r="N28" s="131"/>
      <c r="O28" s="45">
        <v>42</v>
      </c>
      <c r="P28" s="43">
        <f>P27/$AB$6</f>
        <v>0.5499999999999999</v>
      </c>
      <c r="Q28" s="45">
        <v>60</v>
      </c>
      <c r="R28" s="43">
        <f>R27/$AD$6</f>
        <v>0.5112000000000001</v>
      </c>
      <c r="S28" s="45">
        <v>42</v>
      </c>
      <c r="T28" s="43">
        <f>T27/$AF$6</f>
        <v>0.5499999999999999</v>
      </c>
      <c r="U28" s="45">
        <v>59.5</v>
      </c>
      <c r="V28" s="43">
        <f>V27/$AH$6</f>
        <v>0.4503999999999999</v>
      </c>
      <c r="W28" s="45">
        <v>65</v>
      </c>
      <c r="X28" s="43">
        <f>X27/$AJ$6</f>
        <v>0.256</v>
      </c>
      <c r="Y28" s="45">
        <v>61</v>
      </c>
      <c r="Z28" s="43">
        <f>Z27/$AL$6</f>
        <v>0.40800000000000014</v>
      </c>
      <c r="AA28" s="43"/>
    </row>
    <row r="29" spans="1:27" s="13" customFormat="1" ht="27.75" customHeight="1">
      <c r="A29" s="153"/>
      <c r="B29" s="153"/>
      <c r="C29" s="79" t="s">
        <v>191</v>
      </c>
      <c r="D29" s="7"/>
      <c r="E29" s="33"/>
      <c r="F29" s="47">
        <v>0.3291</v>
      </c>
      <c r="G29" s="47">
        <v>0.3026</v>
      </c>
      <c r="H29" s="47">
        <v>0.3514</v>
      </c>
      <c r="I29" s="99"/>
      <c r="J29" s="100"/>
      <c r="K29" s="100"/>
      <c r="L29" s="38"/>
      <c r="M29" s="38"/>
      <c r="N29" s="38"/>
      <c r="O29" s="45">
        <v>32.1</v>
      </c>
      <c r="P29" s="45"/>
      <c r="Q29" s="45">
        <v>46.86</v>
      </c>
      <c r="R29" s="45"/>
      <c r="S29" s="45">
        <v>32.1</v>
      </c>
      <c r="T29" s="45"/>
      <c r="U29" s="45">
        <v>48.57</v>
      </c>
      <c r="V29" s="45"/>
      <c r="W29" s="45">
        <v>56.42</v>
      </c>
      <c r="X29" s="45"/>
      <c r="Y29" s="45">
        <v>50.35</v>
      </c>
      <c r="Z29" s="12"/>
      <c r="AA29" s="12"/>
    </row>
    <row r="30" spans="1:27" s="13" customFormat="1" ht="24" customHeight="1">
      <c r="A30" s="154">
        <v>5</v>
      </c>
      <c r="B30" s="153" t="s">
        <v>43</v>
      </c>
      <c r="C30" s="153"/>
      <c r="D30" s="7" t="s">
        <v>44</v>
      </c>
      <c r="E30" s="33">
        <v>39264</v>
      </c>
      <c r="F30" s="131">
        <v>0.1933</v>
      </c>
      <c r="G30" s="131">
        <v>0.164</v>
      </c>
      <c r="H30" s="131">
        <v>0.164</v>
      </c>
      <c r="I30" s="51">
        <f>L30-F30</f>
        <v>0.3416</v>
      </c>
      <c r="J30" s="51">
        <f>M30-G30</f>
        <v>0.38849999999999996</v>
      </c>
      <c r="K30" s="51">
        <f>N30-H30</f>
        <v>0.354</v>
      </c>
      <c r="L30" s="131">
        <v>0.5349</v>
      </c>
      <c r="M30" s="131">
        <v>0.5525</v>
      </c>
      <c r="N30" s="131">
        <v>0.518</v>
      </c>
      <c r="O30" s="45">
        <f>21</f>
        <v>21</v>
      </c>
      <c r="P30" s="7">
        <f>O31-O30</f>
        <v>9.489999999999998</v>
      </c>
      <c r="Q30" s="45">
        <v>30</v>
      </c>
      <c r="R30" s="7">
        <f>Q31-Q30</f>
        <v>15.189999999999998</v>
      </c>
      <c r="S30" s="45">
        <v>21</v>
      </c>
      <c r="T30" s="7">
        <f>S31-S30</f>
        <v>12.810000000000002</v>
      </c>
      <c r="U30" s="45">
        <v>34.8</v>
      </c>
      <c r="V30" s="7">
        <f>U31-U30</f>
        <v>18.990000000000002</v>
      </c>
      <c r="W30" s="45">
        <v>42</v>
      </c>
      <c r="X30" s="7">
        <f>W31-W30</f>
        <v>20.369999999999997</v>
      </c>
      <c r="Y30" s="45">
        <v>29.1</v>
      </c>
      <c r="Z30" s="7">
        <f>Y31-Y30</f>
        <v>15.100000000000001</v>
      </c>
      <c r="AA30" s="7"/>
    </row>
    <row r="31" spans="1:27" s="13" customFormat="1" ht="22.5" customHeight="1">
      <c r="A31" s="155"/>
      <c r="B31" s="153"/>
      <c r="C31" s="153"/>
      <c r="D31" s="7"/>
      <c r="E31" s="33"/>
      <c r="F31" s="131"/>
      <c r="G31" s="131"/>
      <c r="H31" s="131"/>
      <c r="I31" s="51"/>
      <c r="J31" s="51"/>
      <c r="K31" s="51"/>
      <c r="L31" s="131"/>
      <c r="M31" s="131"/>
      <c r="N31" s="131"/>
      <c r="O31" s="45">
        <v>30.49</v>
      </c>
      <c r="P31" s="43">
        <f>P30/$AB$6</f>
        <v>0.5272222222222221</v>
      </c>
      <c r="Q31" s="45">
        <v>45.19</v>
      </c>
      <c r="R31" s="43">
        <f>R30/$AD$6</f>
        <v>0.6075999999999999</v>
      </c>
      <c r="S31" s="45">
        <v>33.81</v>
      </c>
      <c r="T31" s="43">
        <f>T30/$AF$6</f>
        <v>0.7116666666666668</v>
      </c>
      <c r="U31" s="45">
        <v>53.79</v>
      </c>
      <c r="V31" s="43">
        <f>V30/$AH$6</f>
        <v>0.7596</v>
      </c>
      <c r="W31" s="45">
        <v>62.37</v>
      </c>
      <c r="X31" s="43">
        <f>X30/$AJ$6</f>
        <v>0.582</v>
      </c>
      <c r="Y31" s="45">
        <v>44.2</v>
      </c>
      <c r="Z31" s="43">
        <f>Z30/$AL$6</f>
        <v>0.6040000000000001</v>
      </c>
      <c r="AA31" s="43"/>
    </row>
    <row r="32" spans="1:30" s="13" customFormat="1" ht="20.25" customHeight="1">
      <c r="A32" s="153">
        <v>6</v>
      </c>
      <c r="B32" s="153" t="s">
        <v>122</v>
      </c>
      <c r="C32" s="153" t="s">
        <v>173</v>
      </c>
      <c r="D32" s="7" t="s">
        <v>60</v>
      </c>
      <c r="E32" s="33">
        <v>39448</v>
      </c>
      <c r="F32" s="131">
        <v>0.6133</v>
      </c>
      <c r="G32" s="131">
        <v>0.962</v>
      </c>
      <c r="H32" s="131">
        <v>0.96</v>
      </c>
      <c r="I32" s="51">
        <f>L32-F32</f>
        <v>0.3671000000000001</v>
      </c>
      <c r="J32" s="51"/>
      <c r="K32" s="51"/>
      <c r="L32" s="131">
        <v>0.9804</v>
      </c>
      <c r="M32" s="131"/>
      <c r="N32" s="131"/>
      <c r="O32" s="45">
        <v>34.5</v>
      </c>
      <c r="P32" s="7">
        <f>O33-O32</f>
        <v>10</v>
      </c>
      <c r="Q32" s="45">
        <v>46.25</v>
      </c>
      <c r="R32" s="7">
        <f>Q33-Q32</f>
        <v>8.25</v>
      </c>
      <c r="S32" s="45">
        <f>O32</f>
        <v>34.5</v>
      </c>
      <c r="T32" s="45"/>
      <c r="U32" s="45">
        <f>65.5</f>
        <v>65.5</v>
      </c>
      <c r="V32" s="45"/>
      <c r="W32" s="45">
        <f>73.75</f>
        <v>73.75</v>
      </c>
      <c r="X32" s="45"/>
      <c r="Y32" s="45">
        <f>55.25</f>
        <v>55.25</v>
      </c>
      <c r="Z32" s="12"/>
      <c r="AA32" s="121" t="s">
        <v>176</v>
      </c>
      <c r="AC32" s="7"/>
      <c r="AD32" s="11">
        <v>0.9804</v>
      </c>
    </row>
    <row r="33" spans="1:30" s="13" customFormat="1" ht="20.25" customHeight="1">
      <c r="A33" s="153"/>
      <c r="B33" s="153"/>
      <c r="C33" s="153"/>
      <c r="D33" s="7"/>
      <c r="E33" s="33"/>
      <c r="F33" s="131"/>
      <c r="G33" s="131"/>
      <c r="H33" s="131"/>
      <c r="I33" s="51"/>
      <c r="J33" s="51"/>
      <c r="K33" s="51"/>
      <c r="L33" s="131"/>
      <c r="M33" s="131"/>
      <c r="N33" s="131"/>
      <c r="O33" s="45">
        <v>44.5</v>
      </c>
      <c r="P33" s="43">
        <f>P32/$AB$6</f>
        <v>0.5555555555555556</v>
      </c>
      <c r="Q33" s="45">
        <v>54.5</v>
      </c>
      <c r="R33" s="43">
        <f>R32/$AD$6</f>
        <v>0.33</v>
      </c>
      <c r="S33" s="45"/>
      <c r="T33" s="45"/>
      <c r="U33" s="45"/>
      <c r="V33" s="45"/>
      <c r="W33" s="45"/>
      <c r="X33" s="45"/>
      <c r="Y33" s="45"/>
      <c r="Z33" s="12"/>
      <c r="AA33" s="121"/>
      <c r="AC33" s="7"/>
      <c r="AD33" s="11">
        <v>0.9373</v>
      </c>
    </row>
    <row r="34" spans="1:30" s="13" customFormat="1" ht="20.25" customHeight="1">
      <c r="A34" s="153"/>
      <c r="B34" s="153"/>
      <c r="C34" s="153" t="s">
        <v>94</v>
      </c>
      <c r="D34" s="7"/>
      <c r="E34" s="33"/>
      <c r="F34" s="131">
        <v>0.5271</v>
      </c>
      <c r="G34" s="131">
        <v>0.924</v>
      </c>
      <c r="H34" s="131">
        <v>0.92</v>
      </c>
      <c r="I34" s="51">
        <f>L34-F34</f>
        <v>0.4102</v>
      </c>
      <c r="J34" s="51"/>
      <c r="K34" s="51"/>
      <c r="L34" s="131">
        <v>0.9373</v>
      </c>
      <c r="M34" s="131"/>
      <c r="N34" s="131"/>
      <c r="O34" s="45">
        <v>32.5</v>
      </c>
      <c r="P34" s="7">
        <f>O35-O34</f>
        <v>11</v>
      </c>
      <c r="Q34" s="45">
        <v>44.25</v>
      </c>
      <c r="R34" s="7">
        <f>Q35-Q34</f>
        <v>9</v>
      </c>
      <c r="S34" s="45">
        <v>43.5</v>
      </c>
      <c r="T34" s="45"/>
      <c r="U34" s="45">
        <v>64.5</v>
      </c>
      <c r="V34" s="45"/>
      <c r="W34" s="45">
        <v>71.75</v>
      </c>
      <c r="X34" s="45"/>
      <c r="Y34" s="45">
        <v>54.25</v>
      </c>
      <c r="Z34" s="12"/>
      <c r="AA34" s="121"/>
      <c r="AC34" s="7"/>
      <c r="AD34" s="11">
        <v>0.8511</v>
      </c>
    </row>
    <row r="35" spans="1:30" s="13" customFormat="1" ht="20.25" customHeight="1">
      <c r="A35" s="153"/>
      <c r="B35" s="153"/>
      <c r="C35" s="153"/>
      <c r="D35" s="7"/>
      <c r="E35" s="33"/>
      <c r="F35" s="131"/>
      <c r="G35" s="131"/>
      <c r="H35" s="131"/>
      <c r="I35" s="51"/>
      <c r="J35" s="51"/>
      <c r="K35" s="51"/>
      <c r="L35" s="131"/>
      <c r="M35" s="131"/>
      <c r="N35" s="131"/>
      <c r="O35" s="45">
        <v>43.5</v>
      </c>
      <c r="P35" s="43">
        <f>P34/$AB$6</f>
        <v>0.6111111111111112</v>
      </c>
      <c r="Q35" s="45">
        <v>53.25</v>
      </c>
      <c r="R35" s="43">
        <f>R34/$AD$6</f>
        <v>0.36</v>
      </c>
      <c r="S35" s="45"/>
      <c r="T35" s="45"/>
      <c r="U35" s="45"/>
      <c r="V35" s="45"/>
      <c r="W35" s="45"/>
      <c r="X35" s="45"/>
      <c r="Y35" s="45"/>
      <c r="Z35" s="12"/>
      <c r="AA35" s="121"/>
      <c r="AC35" s="7"/>
      <c r="AD35" s="11">
        <v>0.9373</v>
      </c>
    </row>
    <row r="36" spans="1:30" s="13" customFormat="1" ht="20.25" customHeight="1">
      <c r="A36" s="153"/>
      <c r="B36" s="153"/>
      <c r="C36" s="153" t="s">
        <v>95</v>
      </c>
      <c r="D36" s="7"/>
      <c r="E36" s="33"/>
      <c r="F36" s="131">
        <v>0.5271</v>
      </c>
      <c r="G36" s="131">
        <v>0.8528</v>
      </c>
      <c r="H36" s="131">
        <v>0.92</v>
      </c>
      <c r="I36" s="51">
        <f>L36-F36</f>
        <v>0.32399999999999995</v>
      </c>
      <c r="J36" s="51"/>
      <c r="K36" s="51"/>
      <c r="L36" s="131">
        <v>0.8511</v>
      </c>
      <c r="M36" s="131"/>
      <c r="N36" s="131"/>
      <c r="O36" s="45">
        <v>32.5</v>
      </c>
      <c r="P36" s="7">
        <f>O37-O36</f>
        <v>9</v>
      </c>
      <c r="Q36" s="45">
        <v>44.25</v>
      </c>
      <c r="R36" s="7">
        <f>Q37-Q36</f>
        <v>7</v>
      </c>
      <c r="S36" s="45">
        <v>41.5</v>
      </c>
      <c r="T36" s="45"/>
      <c r="U36" s="45">
        <v>62.5</v>
      </c>
      <c r="V36" s="45"/>
      <c r="W36" s="45">
        <v>69.75</v>
      </c>
      <c r="X36" s="45"/>
      <c r="Y36" s="45">
        <v>54.25</v>
      </c>
      <c r="Z36" s="12"/>
      <c r="AA36" s="121"/>
      <c r="AC36" s="7"/>
      <c r="AD36" s="11">
        <v>0.8942</v>
      </c>
    </row>
    <row r="37" spans="1:30" s="13" customFormat="1" ht="20.25" customHeight="1">
      <c r="A37" s="153"/>
      <c r="B37" s="153"/>
      <c r="C37" s="153"/>
      <c r="D37" s="7"/>
      <c r="E37" s="33"/>
      <c r="F37" s="131"/>
      <c r="G37" s="131"/>
      <c r="H37" s="131"/>
      <c r="I37" s="51"/>
      <c r="J37" s="51"/>
      <c r="K37" s="51"/>
      <c r="L37" s="131"/>
      <c r="M37" s="131"/>
      <c r="N37" s="131"/>
      <c r="O37" s="45">
        <v>41.5</v>
      </c>
      <c r="P37" s="43">
        <f>P36/$AB$6</f>
        <v>0.5</v>
      </c>
      <c r="Q37" s="45">
        <v>51.25</v>
      </c>
      <c r="R37" s="43">
        <f>R36/$AD$6</f>
        <v>0.28</v>
      </c>
      <c r="S37" s="45"/>
      <c r="T37" s="45"/>
      <c r="U37" s="45"/>
      <c r="V37" s="45"/>
      <c r="W37" s="45"/>
      <c r="X37" s="45"/>
      <c r="Y37" s="45"/>
      <c r="Z37" s="12"/>
      <c r="AA37" s="121"/>
      <c r="AC37" s="7"/>
      <c r="AD37" s="11">
        <v>0.8942</v>
      </c>
    </row>
    <row r="38" spans="1:27" s="13" customFormat="1" ht="20.25" customHeight="1">
      <c r="A38" s="153"/>
      <c r="B38" s="153"/>
      <c r="C38" s="153" t="s">
        <v>96</v>
      </c>
      <c r="D38" s="7"/>
      <c r="E38" s="33"/>
      <c r="F38" s="131">
        <v>0.5271</v>
      </c>
      <c r="G38" s="131">
        <v>0.924</v>
      </c>
      <c r="H38" s="131">
        <v>0.92</v>
      </c>
      <c r="I38" s="51">
        <f>L38-F38</f>
        <v>0.4102</v>
      </c>
      <c r="J38" s="51"/>
      <c r="K38" s="51"/>
      <c r="L38" s="131">
        <v>0.9373</v>
      </c>
      <c r="M38" s="131"/>
      <c r="N38" s="131"/>
      <c r="O38" s="45">
        <v>32.5</v>
      </c>
      <c r="P38" s="7">
        <f>O39-O38</f>
        <v>11</v>
      </c>
      <c r="Q38" s="45">
        <v>44.25</v>
      </c>
      <c r="R38" s="7">
        <f>Q39-Q38</f>
        <v>9</v>
      </c>
      <c r="S38" s="45">
        <v>43.5</v>
      </c>
      <c r="T38" s="45"/>
      <c r="U38" s="45">
        <v>64.5</v>
      </c>
      <c r="V38" s="45"/>
      <c r="W38" s="45">
        <v>71.75</v>
      </c>
      <c r="X38" s="45"/>
      <c r="Y38" s="45">
        <v>54.25</v>
      </c>
      <c r="Z38" s="12"/>
      <c r="AA38" s="121"/>
    </row>
    <row r="39" spans="1:27" s="13" customFormat="1" ht="20.25" customHeight="1">
      <c r="A39" s="153"/>
      <c r="B39" s="153"/>
      <c r="C39" s="153"/>
      <c r="D39" s="7"/>
      <c r="E39" s="33"/>
      <c r="F39" s="131"/>
      <c r="G39" s="131"/>
      <c r="H39" s="131"/>
      <c r="I39" s="51"/>
      <c r="J39" s="51"/>
      <c r="K39" s="51"/>
      <c r="L39" s="131"/>
      <c r="M39" s="131"/>
      <c r="N39" s="131"/>
      <c r="O39" s="45">
        <v>43.5</v>
      </c>
      <c r="P39" s="43">
        <f>P38/$AB$6</f>
        <v>0.6111111111111112</v>
      </c>
      <c r="Q39" s="45">
        <v>53.25</v>
      </c>
      <c r="R39" s="43">
        <f>R38/$AD$6</f>
        <v>0.36</v>
      </c>
      <c r="S39" s="45"/>
      <c r="T39" s="45"/>
      <c r="U39" s="45"/>
      <c r="V39" s="45"/>
      <c r="W39" s="45"/>
      <c r="X39" s="45"/>
      <c r="Y39" s="45"/>
      <c r="Z39" s="12"/>
      <c r="AA39" s="121"/>
    </row>
    <row r="40" spans="1:27" s="13" customFormat="1" ht="20.25" customHeight="1">
      <c r="A40" s="153"/>
      <c r="B40" s="153"/>
      <c r="C40" s="153" t="s">
        <v>97</v>
      </c>
      <c r="D40" s="7"/>
      <c r="E40" s="33"/>
      <c r="F40" s="131">
        <v>0.5271</v>
      </c>
      <c r="G40" s="131">
        <v>0.8883</v>
      </c>
      <c r="H40" s="131">
        <v>0.92</v>
      </c>
      <c r="I40" s="51">
        <f>L40-F40</f>
        <v>0.3671</v>
      </c>
      <c r="J40" s="51"/>
      <c r="K40" s="51"/>
      <c r="L40" s="131">
        <v>0.8942</v>
      </c>
      <c r="M40" s="131"/>
      <c r="N40" s="131"/>
      <c r="O40" s="45">
        <v>32.5</v>
      </c>
      <c r="P40" s="7">
        <f>O41-O40</f>
        <v>10</v>
      </c>
      <c r="Q40" s="45">
        <v>44.25</v>
      </c>
      <c r="R40" s="7">
        <f>Q41-Q40</f>
        <v>8</v>
      </c>
      <c r="S40" s="45">
        <v>42.5</v>
      </c>
      <c r="T40" s="45"/>
      <c r="U40" s="45">
        <v>63.5</v>
      </c>
      <c r="V40" s="45"/>
      <c r="W40" s="45">
        <v>70.75</v>
      </c>
      <c r="X40" s="45"/>
      <c r="Y40" s="45">
        <v>54.25</v>
      </c>
      <c r="Z40" s="12"/>
      <c r="AA40" s="121"/>
    </row>
    <row r="41" spans="1:27" s="13" customFormat="1" ht="20.25" customHeight="1">
      <c r="A41" s="153"/>
      <c r="B41" s="153"/>
      <c r="C41" s="153"/>
      <c r="D41" s="7"/>
      <c r="E41" s="33"/>
      <c r="F41" s="131"/>
      <c r="G41" s="131"/>
      <c r="H41" s="131"/>
      <c r="I41" s="51"/>
      <c r="J41" s="51"/>
      <c r="K41" s="51"/>
      <c r="L41" s="131"/>
      <c r="M41" s="131"/>
      <c r="N41" s="131"/>
      <c r="O41" s="45">
        <v>42.5</v>
      </c>
      <c r="P41" s="43">
        <f>P40/$AB$6</f>
        <v>0.5555555555555556</v>
      </c>
      <c r="Q41" s="45">
        <v>52.25</v>
      </c>
      <c r="R41" s="43">
        <f>R40/$AD$6</f>
        <v>0.32</v>
      </c>
      <c r="S41" s="45"/>
      <c r="T41" s="45"/>
      <c r="U41" s="45"/>
      <c r="V41" s="45"/>
      <c r="W41" s="45"/>
      <c r="X41" s="45"/>
      <c r="Y41" s="45"/>
      <c r="Z41" s="12"/>
      <c r="AA41" s="121"/>
    </row>
    <row r="42" spans="1:27" s="13" customFormat="1" ht="20.25" customHeight="1">
      <c r="A42" s="153"/>
      <c r="B42" s="153"/>
      <c r="C42" s="153" t="s">
        <v>174</v>
      </c>
      <c r="D42" s="7"/>
      <c r="E42" s="33"/>
      <c r="F42" s="131">
        <v>0.5271</v>
      </c>
      <c r="G42" s="131">
        <v>0.8883</v>
      </c>
      <c r="H42" s="131">
        <v>0.92</v>
      </c>
      <c r="I42" s="51">
        <f>L42-F42</f>
        <v>0.3671</v>
      </c>
      <c r="J42" s="51"/>
      <c r="K42" s="51"/>
      <c r="L42" s="131">
        <v>0.8942</v>
      </c>
      <c r="M42" s="131"/>
      <c r="N42" s="131"/>
      <c r="O42" s="45">
        <v>32.5</v>
      </c>
      <c r="P42" s="7">
        <f>O43-O42</f>
        <v>10</v>
      </c>
      <c r="Q42" s="45">
        <v>44.25</v>
      </c>
      <c r="R42" s="7">
        <f>Q43-Q42</f>
        <v>8</v>
      </c>
      <c r="S42" s="45">
        <v>42.5</v>
      </c>
      <c r="T42" s="45"/>
      <c r="U42" s="45">
        <v>63.5</v>
      </c>
      <c r="V42" s="45"/>
      <c r="W42" s="45">
        <v>70.75</v>
      </c>
      <c r="X42" s="45"/>
      <c r="Y42" s="45">
        <v>54.25</v>
      </c>
      <c r="Z42" s="12"/>
      <c r="AA42" s="121"/>
    </row>
    <row r="43" spans="1:27" s="13" customFormat="1" ht="20.25" customHeight="1">
      <c r="A43" s="153"/>
      <c r="B43" s="153"/>
      <c r="C43" s="153"/>
      <c r="D43" s="7"/>
      <c r="E43" s="33"/>
      <c r="F43" s="131"/>
      <c r="G43" s="131"/>
      <c r="H43" s="131"/>
      <c r="I43" s="51"/>
      <c r="J43" s="51"/>
      <c r="K43" s="51"/>
      <c r="L43" s="131"/>
      <c r="M43" s="131"/>
      <c r="N43" s="131"/>
      <c r="O43" s="45">
        <v>42.5</v>
      </c>
      <c r="P43" s="43">
        <f>P42/$AB$6</f>
        <v>0.5555555555555556</v>
      </c>
      <c r="Q43" s="45">
        <v>52.25</v>
      </c>
      <c r="R43" s="43">
        <f>R42/$AD$6</f>
        <v>0.32</v>
      </c>
      <c r="S43" s="45"/>
      <c r="T43" s="45"/>
      <c r="U43" s="45"/>
      <c r="V43" s="45"/>
      <c r="W43" s="45"/>
      <c r="X43" s="45"/>
      <c r="Y43" s="45"/>
      <c r="Z43" s="12"/>
      <c r="AA43" s="121"/>
    </row>
    <row r="44" spans="1:30" s="13" customFormat="1" ht="27.75" customHeight="1">
      <c r="A44" s="153">
        <v>7</v>
      </c>
      <c r="B44" s="153" t="s">
        <v>68</v>
      </c>
      <c r="C44" s="153" t="s">
        <v>196</v>
      </c>
      <c r="D44" s="7"/>
      <c r="E44" s="33"/>
      <c r="F44" s="131">
        <v>0.178</v>
      </c>
      <c r="G44" s="131">
        <v>0.0902</v>
      </c>
      <c r="H44" s="131">
        <v>0.14</v>
      </c>
      <c r="I44" s="132">
        <f>L44-F44</f>
        <v>0.07430000000000003</v>
      </c>
      <c r="J44" s="132">
        <f>M44-G44</f>
        <v>0.05210000000000001</v>
      </c>
      <c r="K44" s="132">
        <f>N44-H44</f>
        <v>0.032399999999999984</v>
      </c>
      <c r="L44" s="131">
        <v>0.2523</v>
      </c>
      <c r="M44" s="131">
        <v>0.1423</v>
      </c>
      <c r="N44" s="131">
        <v>0.1724</v>
      </c>
      <c r="O44" s="46">
        <v>27</v>
      </c>
      <c r="P44" s="7">
        <f>O45-O44</f>
        <v>3.0500000000000007</v>
      </c>
      <c r="Q44" s="46">
        <v>35.25</v>
      </c>
      <c r="R44" s="7">
        <f>Q45-Q44</f>
        <v>2.469999999999999</v>
      </c>
      <c r="S44" s="46">
        <v>27</v>
      </c>
      <c r="T44" s="7">
        <f>S45-S44</f>
        <v>3.0500000000000007</v>
      </c>
      <c r="U44" s="46">
        <v>39.5</v>
      </c>
      <c r="V44" s="7">
        <f>U45-U44</f>
        <v>2.25</v>
      </c>
      <c r="W44" s="46">
        <v>46.75</v>
      </c>
      <c r="X44" s="7">
        <f>W45-W44</f>
        <v>3.1400000000000006</v>
      </c>
      <c r="Y44" s="46">
        <v>34.75</v>
      </c>
      <c r="Z44" s="7">
        <f>Y45-Y44</f>
        <v>1.7199999999999989</v>
      </c>
      <c r="AA44" s="122" t="s">
        <v>179</v>
      </c>
      <c r="AD44" s="24"/>
    </row>
    <row r="45" spans="1:30" s="13" customFormat="1" ht="27.75" customHeight="1">
      <c r="A45" s="153"/>
      <c r="B45" s="153"/>
      <c r="C45" s="153"/>
      <c r="D45" s="7"/>
      <c r="E45" s="33"/>
      <c r="F45" s="131"/>
      <c r="G45" s="131"/>
      <c r="H45" s="131"/>
      <c r="I45" s="132"/>
      <c r="J45" s="132"/>
      <c r="K45" s="132"/>
      <c r="L45" s="131"/>
      <c r="M45" s="131"/>
      <c r="N45" s="131"/>
      <c r="O45" s="46">
        <v>30.05</v>
      </c>
      <c r="P45" s="43">
        <f>P44/$AB$6</f>
        <v>0.16944444444444448</v>
      </c>
      <c r="Q45" s="46">
        <v>37.72</v>
      </c>
      <c r="R45" s="43">
        <f>R44/$AD$6</f>
        <v>0.09879999999999996</v>
      </c>
      <c r="S45" s="46">
        <v>30.05</v>
      </c>
      <c r="T45" s="43">
        <f>T44/$AF$6</f>
        <v>0.16944444444444448</v>
      </c>
      <c r="U45" s="46">
        <v>41.75</v>
      </c>
      <c r="V45" s="43">
        <f>V44/$AH$6</f>
        <v>0.09</v>
      </c>
      <c r="W45" s="46">
        <v>49.89</v>
      </c>
      <c r="X45" s="43">
        <f>X44/$AJ$6</f>
        <v>0.08971428571428573</v>
      </c>
      <c r="Y45" s="46">
        <v>36.47</v>
      </c>
      <c r="Z45" s="43">
        <f>Z44/$AL$6</f>
        <v>0.06879999999999996</v>
      </c>
      <c r="AA45" s="122"/>
      <c r="AD45" s="24"/>
    </row>
    <row r="46" spans="1:30" s="13" customFormat="1" ht="27.75" customHeight="1">
      <c r="A46" s="153"/>
      <c r="B46" s="153"/>
      <c r="C46" s="153" t="s">
        <v>197</v>
      </c>
      <c r="D46" s="153"/>
      <c r="E46" s="153"/>
      <c r="F46" s="131">
        <v>0.1349</v>
      </c>
      <c r="G46" s="131">
        <v>0.0668</v>
      </c>
      <c r="H46" s="131">
        <v>0.16</v>
      </c>
      <c r="I46" s="132">
        <f>L46-F46</f>
        <v>0.07980000000000001</v>
      </c>
      <c r="J46" s="132">
        <f>M46-G46</f>
        <v>0.0489</v>
      </c>
      <c r="K46" s="132">
        <f>N46-H46</f>
        <v>0.023999999999999994</v>
      </c>
      <c r="L46" s="131">
        <v>0.2147</v>
      </c>
      <c r="M46" s="131">
        <v>0.1157</v>
      </c>
      <c r="N46" s="131">
        <v>0.184</v>
      </c>
      <c r="O46" s="46">
        <v>26</v>
      </c>
      <c r="P46" s="7">
        <f>O47-O46</f>
        <v>3</v>
      </c>
      <c r="Q46" s="46">
        <v>34.25</v>
      </c>
      <c r="R46" s="7">
        <f>Q47-Q46</f>
        <v>2</v>
      </c>
      <c r="S46" s="46">
        <v>26</v>
      </c>
      <c r="T46" s="7">
        <f>S47-S46</f>
        <v>3</v>
      </c>
      <c r="U46" s="46">
        <v>39</v>
      </c>
      <c r="V46" s="7">
        <f>U47-U46</f>
        <v>1.5</v>
      </c>
      <c r="W46" s="46">
        <v>45.25</v>
      </c>
      <c r="X46" s="7">
        <f>W47-W46</f>
        <v>1</v>
      </c>
      <c r="Y46" s="46">
        <v>35.25</v>
      </c>
      <c r="Z46" s="7">
        <f>Y47-Y46</f>
        <v>0.6000000000000014</v>
      </c>
      <c r="AA46" s="122" t="s">
        <v>180</v>
      </c>
      <c r="AC46" s="7"/>
      <c r="AD46" s="24"/>
    </row>
    <row r="47" spans="1:30" s="13" customFormat="1" ht="27.75" customHeight="1">
      <c r="A47" s="153"/>
      <c r="B47" s="153"/>
      <c r="C47" s="153"/>
      <c r="D47" s="153"/>
      <c r="E47" s="153"/>
      <c r="F47" s="131"/>
      <c r="G47" s="131"/>
      <c r="H47" s="131"/>
      <c r="I47" s="132"/>
      <c r="J47" s="132"/>
      <c r="K47" s="132"/>
      <c r="L47" s="131"/>
      <c r="M47" s="131"/>
      <c r="N47" s="131"/>
      <c r="O47" s="46">
        <v>29</v>
      </c>
      <c r="P47" s="43">
        <f>P46/$AB$6</f>
        <v>0.16666666666666666</v>
      </c>
      <c r="Q47" s="46">
        <v>36.25</v>
      </c>
      <c r="R47" s="43">
        <f>R46/$AD$6</f>
        <v>0.08</v>
      </c>
      <c r="S47" s="46">
        <v>29</v>
      </c>
      <c r="T47" s="43">
        <f>T46/$AF$6</f>
        <v>0.16666666666666666</v>
      </c>
      <c r="U47" s="46">
        <v>40.5</v>
      </c>
      <c r="V47" s="43">
        <f>V46/$AH$6</f>
        <v>0.06</v>
      </c>
      <c r="W47" s="46">
        <v>46.25</v>
      </c>
      <c r="X47" s="43">
        <f>X46/$AJ$6</f>
        <v>0.02857142857142857</v>
      </c>
      <c r="Y47" s="46">
        <v>35.85</v>
      </c>
      <c r="Z47" s="43">
        <f>Z46/$AL$6</f>
        <v>0.024000000000000056</v>
      </c>
      <c r="AA47" s="122"/>
      <c r="AC47" s="7"/>
      <c r="AD47" s="24"/>
    </row>
    <row r="48" spans="1:30" s="13" customFormat="1" ht="27.75" customHeight="1">
      <c r="A48" s="153"/>
      <c r="B48" s="153"/>
      <c r="C48" s="153" t="s">
        <v>198</v>
      </c>
      <c r="D48" s="153"/>
      <c r="E48" s="153"/>
      <c r="F48" s="131">
        <v>0.1189</v>
      </c>
      <c r="G48" s="131">
        <v>0.0523</v>
      </c>
      <c r="H48" s="131">
        <v>0.08</v>
      </c>
      <c r="I48" s="132">
        <f>L48-F48</f>
        <v>0.08299999999999999</v>
      </c>
      <c r="J48" s="132">
        <f>M48-G48</f>
        <v>0.0587</v>
      </c>
      <c r="K48" s="132">
        <f>N48-H48</f>
        <v>0.08</v>
      </c>
      <c r="L48" s="131">
        <v>0.2019</v>
      </c>
      <c r="M48" s="131">
        <v>0.111</v>
      </c>
      <c r="N48" s="131">
        <v>0.16</v>
      </c>
      <c r="O48" s="46">
        <v>26</v>
      </c>
      <c r="P48" s="7">
        <f>O49-O48</f>
        <v>3</v>
      </c>
      <c r="Q48" s="46">
        <v>33.75</v>
      </c>
      <c r="R48" s="7">
        <f>Q49-Q48</f>
        <v>2</v>
      </c>
      <c r="S48" s="46">
        <v>26</v>
      </c>
      <c r="T48" s="7">
        <f>S49-S48</f>
        <v>3</v>
      </c>
      <c r="U48" s="46">
        <v>38.5</v>
      </c>
      <c r="V48" s="7">
        <f>U49-U48</f>
        <v>1.8500000000000014</v>
      </c>
      <c r="W48" s="46">
        <v>44.75</v>
      </c>
      <c r="X48" s="7">
        <f>W49-W48</f>
        <v>1</v>
      </c>
      <c r="Y48" s="46">
        <v>33.25</v>
      </c>
      <c r="Z48" s="7">
        <f>Y49-Y48</f>
        <v>2</v>
      </c>
      <c r="AA48" s="122" t="s">
        <v>181</v>
      </c>
      <c r="AC48" s="7"/>
      <c r="AD48" s="7"/>
    </row>
    <row r="49" spans="1:30" s="13" customFormat="1" ht="27.75" customHeight="1">
      <c r="A49" s="153"/>
      <c r="B49" s="153"/>
      <c r="C49" s="153"/>
      <c r="D49" s="153"/>
      <c r="E49" s="153"/>
      <c r="F49" s="131"/>
      <c r="G49" s="131"/>
      <c r="H49" s="131"/>
      <c r="I49" s="132"/>
      <c r="J49" s="132"/>
      <c r="K49" s="132"/>
      <c r="L49" s="131"/>
      <c r="M49" s="131"/>
      <c r="N49" s="131"/>
      <c r="O49" s="46">
        <v>29</v>
      </c>
      <c r="P49" s="43">
        <f>P48/$AB$6</f>
        <v>0.16666666666666666</v>
      </c>
      <c r="Q49" s="46">
        <v>35.75</v>
      </c>
      <c r="R49" s="43">
        <f>R48/$AD$6</f>
        <v>0.08</v>
      </c>
      <c r="S49" s="46">
        <v>29</v>
      </c>
      <c r="T49" s="43">
        <f>T48/$AF$6</f>
        <v>0.16666666666666666</v>
      </c>
      <c r="U49" s="46">
        <v>40.35</v>
      </c>
      <c r="V49" s="43">
        <f>V48/$AH$6</f>
        <v>0.07400000000000005</v>
      </c>
      <c r="W49" s="46">
        <v>45.75</v>
      </c>
      <c r="X49" s="43">
        <f>X48/$AJ$6</f>
        <v>0.02857142857142857</v>
      </c>
      <c r="Y49" s="46">
        <v>35.25</v>
      </c>
      <c r="Z49" s="43">
        <f>Z48/$AL$6</f>
        <v>0.08</v>
      </c>
      <c r="AA49" s="122"/>
      <c r="AC49" s="7"/>
      <c r="AD49" s="7"/>
    </row>
    <row r="50" spans="1:27" s="13" customFormat="1" ht="27.75" customHeight="1">
      <c r="A50" s="153"/>
      <c r="B50" s="153"/>
      <c r="C50" s="153" t="s">
        <v>199</v>
      </c>
      <c r="D50" s="153"/>
      <c r="E50" s="153"/>
      <c r="F50" s="131">
        <v>0.1564</v>
      </c>
      <c r="G50" s="131">
        <v>0.0512</v>
      </c>
      <c r="H50" s="131">
        <v>0.16</v>
      </c>
      <c r="I50" s="132">
        <f>L50-F50</f>
        <v>0.06789999999999999</v>
      </c>
      <c r="J50" s="132">
        <f>M50-G50</f>
        <v>0.05569999999999999</v>
      </c>
      <c r="K50" s="132">
        <f>N50-H50</f>
        <v>0.027999999999999997</v>
      </c>
      <c r="L50" s="131">
        <v>0.2243</v>
      </c>
      <c r="M50" s="131">
        <v>0.1069</v>
      </c>
      <c r="N50" s="131">
        <v>0.188</v>
      </c>
      <c r="O50" s="46">
        <v>26.5</v>
      </c>
      <c r="P50" s="7">
        <f>O51-O50</f>
        <v>2.5</v>
      </c>
      <c r="Q50" s="46">
        <v>34.75</v>
      </c>
      <c r="R50" s="7">
        <f>Q51-Q50</f>
        <v>2</v>
      </c>
      <c r="S50" s="46">
        <v>27</v>
      </c>
      <c r="T50" s="7">
        <f>S51-S50</f>
        <v>2</v>
      </c>
      <c r="U50" s="46">
        <v>38.5</v>
      </c>
      <c r="V50" s="7">
        <f>U51-U50</f>
        <v>1.5</v>
      </c>
      <c r="W50" s="46">
        <v>45.75</v>
      </c>
      <c r="X50" s="7">
        <f>W51-W50</f>
        <v>1</v>
      </c>
      <c r="Y50" s="46">
        <v>35.25</v>
      </c>
      <c r="Z50" s="7">
        <f>Y51-Y50</f>
        <v>0.7000000000000028</v>
      </c>
      <c r="AA50" s="122" t="s">
        <v>182</v>
      </c>
    </row>
    <row r="51" spans="1:27" s="13" customFormat="1" ht="27.75" customHeight="1">
      <c r="A51" s="153"/>
      <c r="B51" s="153"/>
      <c r="C51" s="153"/>
      <c r="D51" s="153"/>
      <c r="E51" s="153"/>
      <c r="F51" s="131"/>
      <c r="G51" s="131"/>
      <c r="H51" s="131"/>
      <c r="I51" s="132"/>
      <c r="J51" s="132"/>
      <c r="K51" s="132"/>
      <c r="L51" s="131"/>
      <c r="M51" s="131"/>
      <c r="N51" s="131"/>
      <c r="O51" s="46">
        <v>29</v>
      </c>
      <c r="P51" s="43">
        <f>P50/$AB$6</f>
        <v>0.1388888888888889</v>
      </c>
      <c r="Q51" s="46">
        <v>36.75</v>
      </c>
      <c r="R51" s="43">
        <f>R50/$AD$6</f>
        <v>0.08</v>
      </c>
      <c r="S51" s="46">
        <v>29</v>
      </c>
      <c r="T51" s="43">
        <f>T50/$AF$6</f>
        <v>0.1111111111111111</v>
      </c>
      <c r="U51" s="46">
        <v>40</v>
      </c>
      <c r="V51" s="43">
        <f>V50/$AH$6</f>
        <v>0.06</v>
      </c>
      <c r="W51" s="46">
        <v>46.75</v>
      </c>
      <c r="X51" s="43">
        <f>X50/$AJ$6</f>
        <v>0.02857142857142857</v>
      </c>
      <c r="Y51" s="46">
        <v>35.95</v>
      </c>
      <c r="Z51" s="43">
        <f>Z50/$AL$6</f>
        <v>0.028000000000000115</v>
      </c>
      <c r="AA51" s="122"/>
    </row>
    <row r="52" spans="1:27" s="13" customFormat="1" ht="27.75" customHeight="1">
      <c r="A52" s="153"/>
      <c r="B52" s="153"/>
      <c r="C52" s="153" t="s">
        <v>200</v>
      </c>
      <c r="D52" s="153"/>
      <c r="E52" s="153"/>
      <c r="F52" s="131">
        <v>0.0918</v>
      </c>
      <c r="G52" s="131">
        <v>0.0311</v>
      </c>
      <c r="H52" s="131">
        <v>0.06</v>
      </c>
      <c r="I52" s="132">
        <f>L52-F52</f>
        <v>0.0734</v>
      </c>
      <c r="J52" s="132">
        <f>M52-G52</f>
        <v>0.0437</v>
      </c>
      <c r="K52" s="132">
        <f>N52-H52</f>
        <v>0.04000000000000001</v>
      </c>
      <c r="L52" s="131">
        <v>0.1652</v>
      </c>
      <c r="M52" s="131">
        <v>0.0748</v>
      </c>
      <c r="N52" s="131">
        <v>0.1</v>
      </c>
      <c r="O52" s="46">
        <v>25</v>
      </c>
      <c r="P52" s="7">
        <f>O53-O52</f>
        <v>1</v>
      </c>
      <c r="Q52" s="46">
        <v>33.25</v>
      </c>
      <c r="R52" s="7">
        <f>Q53-Q52</f>
        <v>1.75</v>
      </c>
      <c r="S52" s="7">
        <v>25</v>
      </c>
      <c r="T52" s="7">
        <f>S53-S52</f>
        <v>1</v>
      </c>
      <c r="U52" s="46">
        <v>38</v>
      </c>
      <c r="V52" s="7">
        <f>U53-U52</f>
        <v>1.2999999999999972</v>
      </c>
      <c r="W52" s="46">
        <v>44.25</v>
      </c>
      <c r="X52" s="7">
        <f>W53-W52</f>
        <v>1</v>
      </c>
      <c r="Y52" s="46">
        <v>32.75</v>
      </c>
      <c r="Z52" s="7">
        <f>Y53-Y52</f>
        <v>1</v>
      </c>
      <c r="AA52" s="122" t="s">
        <v>183</v>
      </c>
    </row>
    <row r="53" spans="1:27" s="13" customFormat="1" ht="27.75" customHeight="1">
      <c r="A53" s="153"/>
      <c r="B53" s="153"/>
      <c r="C53" s="153"/>
      <c r="D53" s="153"/>
      <c r="E53" s="153"/>
      <c r="F53" s="131"/>
      <c r="G53" s="131"/>
      <c r="H53" s="131"/>
      <c r="I53" s="132"/>
      <c r="J53" s="132"/>
      <c r="K53" s="132"/>
      <c r="L53" s="131"/>
      <c r="M53" s="131"/>
      <c r="N53" s="131"/>
      <c r="O53" s="46">
        <v>26</v>
      </c>
      <c r="P53" s="43">
        <f>P52/$AB$6</f>
        <v>0.05555555555555555</v>
      </c>
      <c r="Q53" s="46">
        <v>35</v>
      </c>
      <c r="R53" s="43">
        <f>R52/$AD$6</f>
        <v>0.07</v>
      </c>
      <c r="S53" s="7">
        <v>26</v>
      </c>
      <c r="T53" s="43">
        <f>T52/$AF$6</f>
        <v>0.05555555555555555</v>
      </c>
      <c r="U53" s="46">
        <v>39.3</v>
      </c>
      <c r="V53" s="43">
        <f>V52/$AH$6</f>
        <v>0.05199999999999989</v>
      </c>
      <c r="W53" s="46">
        <v>45.25</v>
      </c>
      <c r="X53" s="43">
        <f>X52/$AJ$6</f>
        <v>0.02857142857142857</v>
      </c>
      <c r="Y53" s="46">
        <v>33.75</v>
      </c>
      <c r="Z53" s="43">
        <f>Z52/$AL$6</f>
        <v>0.04</v>
      </c>
      <c r="AA53" s="122"/>
    </row>
    <row r="54" spans="1:27" s="13" customFormat="1" ht="27" customHeight="1">
      <c r="A54" s="7">
        <v>8</v>
      </c>
      <c r="B54" s="140" t="s">
        <v>74</v>
      </c>
      <c r="C54" s="141"/>
      <c r="D54" s="8" t="s">
        <v>117</v>
      </c>
      <c r="E54" s="33">
        <v>39142</v>
      </c>
      <c r="F54" s="38">
        <v>0.3018</v>
      </c>
      <c r="G54" s="38">
        <v>0.1914</v>
      </c>
      <c r="H54" s="38">
        <v>0.2</v>
      </c>
      <c r="I54" s="100"/>
      <c r="J54" s="100"/>
      <c r="K54" s="100"/>
      <c r="L54" s="38"/>
      <c r="M54" s="38"/>
      <c r="N54" s="38"/>
      <c r="O54" s="45">
        <v>27</v>
      </c>
      <c r="P54" s="45"/>
      <c r="Q54" s="45">
        <v>37</v>
      </c>
      <c r="R54" s="45"/>
      <c r="S54" s="45">
        <v>27</v>
      </c>
      <c r="T54" s="45"/>
      <c r="U54" s="45">
        <v>40</v>
      </c>
      <c r="V54" s="45"/>
      <c r="W54" s="45">
        <v>44</v>
      </c>
      <c r="X54" s="45"/>
      <c r="Y54" s="45">
        <v>32</v>
      </c>
      <c r="Z54" s="12"/>
      <c r="AA54" s="12"/>
    </row>
    <row r="55" spans="1:29" s="13" customFormat="1" ht="27" customHeight="1">
      <c r="A55" s="153">
        <v>9</v>
      </c>
      <c r="B55" s="153" t="s">
        <v>172</v>
      </c>
      <c r="C55" s="153" t="s">
        <v>148</v>
      </c>
      <c r="D55" s="7"/>
      <c r="E55" s="33"/>
      <c r="F55" s="131">
        <v>0.212</v>
      </c>
      <c r="G55" s="131">
        <v>0.181</v>
      </c>
      <c r="H55" s="131">
        <v>0.195</v>
      </c>
      <c r="I55" s="50">
        <f>L55-F55</f>
        <v>0.1328</v>
      </c>
      <c r="J55" s="50">
        <f>M55-G55</f>
        <v>0.1336</v>
      </c>
      <c r="K55" s="50">
        <f>N55-H55</f>
        <v>0.1503</v>
      </c>
      <c r="L55" s="131">
        <v>0.3448</v>
      </c>
      <c r="M55" s="131">
        <v>0.3146</v>
      </c>
      <c r="N55" s="131">
        <v>0.3453</v>
      </c>
      <c r="O55" s="45">
        <v>29</v>
      </c>
      <c r="P55" s="7">
        <f>O56-O55</f>
        <v>10</v>
      </c>
      <c r="Q55" s="45">
        <v>40</v>
      </c>
      <c r="R55" s="7">
        <f>Q56-Q55</f>
        <v>10</v>
      </c>
      <c r="S55" s="45">
        <v>29</v>
      </c>
      <c r="T55" s="7">
        <f>S56-S55</f>
        <v>10</v>
      </c>
      <c r="U55" s="45">
        <v>41</v>
      </c>
      <c r="V55" s="7">
        <f>U56-U55</f>
        <v>10</v>
      </c>
      <c r="W55" s="45">
        <v>48</v>
      </c>
      <c r="X55" s="7">
        <f>W56-W55</f>
        <v>10</v>
      </c>
      <c r="Y55" s="45">
        <v>40</v>
      </c>
      <c r="Z55" s="7">
        <f>Y56-Y55</f>
        <v>10</v>
      </c>
      <c r="AA55" s="7"/>
      <c r="AC55" s="7"/>
    </row>
    <row r="56" spans="1:29" s="13" customFormat="1" ht="27" customHeight="1">
      <c r="A56" s="153"/>
      <c r="B56" s="153"/>
      <c r="C56" s="153"/>
      <c r="D56" s="7"/>
      <c r="E56" s="33"/>
      <c r="F56" s="131"/>
      <c r="G56" s="131"/>
      <c r="H56" s="131"/>
      <c r="I56" s="50"/>
      <c r="J56" s="50"/>
      <c r="K56" s="50"/>
      <c r="L56" s="131"/>
      <c r="M56" s="131"/>
      <c r="N56" s="131"/>
      <c r="O56" s="45">
        <v>39</v>
      </c>
      <c r="P56" s="43">
        <f>P55/$AB$6</f>
        <v>0.5555555555555556</v>
      </c>
      <c r="Q56" s="45">
        <v>50</v>
      </c>
      <c r="R56" s="43">
        <f>R55/$AD$6</f>
        <v>0.4</v>
      </c>
      <c r="S56" s="45">
        <v>39</v>
      </c>
      <c r="T56" s="43">
        <f>T55/$AF$6</f>
        <v>0.5555555555555556</v>
      </c>
      <c r="U56" s="45">
        <v>51</v>
      </c>
      <c r="V56" s="43">
        <f>V55/$AH$6</f>
        <v>0.4</v>
      </c>
      <c r="W56" s="45">
        <v>58</v>
      </c>
      <c r="X56" s="43">
        <f>X55/$AJ$6</f>
        <v>0.2857142857142857</v>
      </c>
      <c r="Y56" s="45">
        <v>50</v>
      </c>
      <c r="Z56" s="43">
        <f>Z55/$AL$6</f>
        <v>0.4</v>
      </c>
      <c r="AA56" s="43"/>
      <c r="AC56" s="7"/>
    </row>
    <row r="57" spans="1:29" s="13" customFormat="1" ht="27" customHeight="1">
      <c r="A57" s="153"/>
      <c r="B57" s="153"/>
      <c r="C57" s="153" t="s">
        <v>149</v>
      </c>
      <c r="D57" s="7"/>
      <c r="E57" s="33"/>
      <c r="F57" s="131">
        <v>0.212</v>
      </c>
      <c r="G57" s="131">
        <v>0.181</v>
      </c>
      <c r="H57" s="131">
        <v>0.195</v>
      </c>
      <c r="I57" s="50">
        <f>L57-F57</f>
        <v>0.1248</v>
      </c>
      <c r="J57" s="50">
        <f>M57-G57</f>
        <v>0.1205</v>
      </c>
      <c r="K57" s="50">
        <f>N57-H57</f>
        <v>0.15149999999999997</v>
      </c>
      <c r="L57" s="131">
        <v>0.3368</v>
      </c>
      <c r="M57" s="131">
        <v>0.3015</v>
      </c>
      <c r="N57" s="131">
        <v>0.3465</v>
      </c>
      <c r="O57" s="45">
        <v>29</v>
      </c>
      <c r="P57" s="7">
        <f>O58-O57</f>
        <v>10</v>
      </c>
      <c r="Q57" s="45">
        <v>40</v>
      </c>
      <c r="R57" s="7">
        <f>Q58-Q57</f>
        <v>10</v>
      </c>
      <c r="S57" s="45">
        <v>29</v>
      </c>
      <c r="T57" s="7">
        <f>S58-S57</f>
        <v>10</v>
      </c>
      <c r="U57" s="45">
        <v>41</v>
      </c>
      <c r="V57" s="7">
        <f>U58-U57</f>
        <v>10</v>
      </c>
      <c r="W57" s="45">
        <v>48</v>
      </c>
      <c r="X57" s="7">
        <f>W58-W57</f>
        <v>10</v>
      </c>
      <c r="Y57" s="45">
        <v>40</v>
      </c>
      <c r="Z57" s="7">
        <f>Y58-Y57</f>
        <v>10</v>
      </c>
      <c r="AA57" s="7"/>
      <c r="AC57" s="7"/>
    </row>
    <row r="58" spans="1:29" s="13" customFormat="1" ht="27" customHeight="1">
      <c r="A58" s="153"/>
      <c r="B58" s="153"/>
      <c r="C58" s="153"/>
      <c r="D58" s="7"/>
      <c r="E58" s="33"/>
      <c r="F58" s="131"/>
      <c r="G58" s="131"/>
      <c r="H58" s="131"/>
      <c r="I58" s="50"/>
      <c r="J58" s="50"/>
      <c r="K58" s="50"/>
      <c r="L58" s="131"/>
      <c r="M58" s="131"/>
      <c r="N58" s="131"/>
      <c r="O58" s="45">
        <v>39</v>
      </c>
      <c r="P58" s="43">
        <f>P57/$AB$6</f>
        <v>0.5555555555555556</v>
      </c>
      <c r="Q58" s="45">
        <v>50</v>
      </c>
      <c r="R58" s="43">
        <f>R57/$AD$6</f>
        <v>0.4</v>
      </c>
      <c r="S58" s="45">
        <v>39</v>
      </c>
      <c r="T58" s="43">
        <f>T57/$AF$6</f>
        <v>0.5555555555555556</v>
      </c>
      <c r="U58" s="45">
        <v>51</v>
      </c>
      <c r="V58" s="43">
        <f>V57/$AH$6</f>
        <v>0.4</v>
      </c>
      <c r="W58" s="45">
        <v>58</v>
      </c>
      <c r="X58" s="43">
        <f>X57/$AJ$6</f>
        <v>0.2857142857142857</v>
      </c>
      <c r="Y58" s="45">
        <v>50</v>
      </c>
      <c r="Z58" s="43">
        <f>Z57/$AL$6</f>
        <v>0.4</v>
      </c>
      <c r="AA58" s="43"/>
      <c r="AC58" s="7"/>
    </row>
    <row r="59" spans="1:27" s="13" customFormat="1" ht="27" customHeight="1">
      <c r="A59" s="153"/>
      <c r="B59" s="153"/>
      <c r="C59" s="153" t="s">
        <v>150</v>
      </c>
      <c r="D59" s="7"/>
      <c r="E59" s="33"/>
      <c r="F59" s="131">
        <v>0.205</v>
      </c>
      <c r="G59" s="131">
        <v>0.174</v>
      </c>
      <c r="H59" s="131">
        <v>0.188</v>
      </c>
      <c r="I59" s="50">
        <f>L59-F59</f>
        <v>0.1253</v>
      </c>
      <c r="J59" s="50">
        <f>M59-G59</f>
        <v>0.11970000000000003</v>
      </c>
      <c r="K59" s="50">
        <f>N59-H59</f>
        <v>0.14789999999999998</v>
      </c>
      <c r="L59" s="131">
        <v>0.3303</v>
      </c>
      <c r="M59" s="131">
        <v>0.2937</v>
      </c>
      <c r="N59" s="131">
        <v>0.3359</v>
      </c>
      <c r="O59" s="45">
        <v>28.5</v>
      </c>
      <c r="P59" s="7">
        <f>O60-O59</f>
        <v>10</v>
      </c>
      <c r="Q59" s="45">
        <v>39.5</v>
      </c>
      <c r="R59" s="7">
        <f>Q60-Q59</f>
        <v>10</v>
      </c>
      <c r="S59" s="45">
        <v>28.5</v>
      </c>
      <c r="T59" s="7">
        <f>S60-S59</f>
        <v>10</v>
      </c>
      <c r="U59" s="45">
        <v>40.5</v>
      </c>
      <c r="V59" s="7">
        <f>U60-U59</f>
        <v>10</v>
      </c>
      <c r="W59" s="45">
        <v>47.5</v>
      </c>
      <c r="X59" s="7">
        <f>W60-W59</f>
        <v>10</v>
      </c>
      <c r="Y59" s="45">
        <v>39.5</v>
      </c>
      <c r="Z59" s="7">
        <f>Y60-Y59</f>
        <v>10</v>
      </c>
      <c r="AA59" s="7"/>
    </row>
    <row r="60" spans="1:27" s="13" customFormat="1" ht="27" customHeight="1">
      <c r="A60" s="153"/>
      <c r="B60" s="153"/>
      <c r="C60" s="153"/>
      <c r="D60" s="7"/>
      <c r="E60" s="33"/>
      <c r="F60" s="131"/>
      <c r="G60" s="131"/>
      <c r="H60" s="131"/>
      <c r="I60" s="50"/>
      <c r="J60" s="50"/>
      <c r="K60" s="50"/>
      <c r="L60" s="131"/>
      <c r="M60" s="131"/>
      <c r="N60" s="131"/>
      <c r="O60" s="45">
        <v>38.5</v>
      </c>
      <c r="P60" s="43">
        <f>P59/$AB$6</f>
        <v>0.5555555555555556</v>
      </c>
      <c r="Q60" s="45">
        <v>49.5</v>
      </c>
      <c r="R60" s="43">
        <f>(Q60-Q59)/Q59</f>
        <v>0.25316455696202533</v>
      </c>
      <c r="S60" s="45">
        <v>38.5</v>
      </c>
      <c r="T60" s="43">
        <f>T59/$AF$6</f>
        <v>0.5555555555555556</v>
      </c>
      <c r="U60" s="45">
        <v>50.5</v>
      </c>
      <c r="V60" s="43">
        <f>V59/$AH$6</f>
        <v>0.4</v>
      </c>
      <c r="W60" s="45">
        <v>57.5</v>
      </c>
      <c r="X60" s="43">
        <f>X59/$AJ$6</f>
        <v>0.2857142857142857</v>
      </c>
      <c r="Y60" s="45">
        <v>49.5</v>
      </c>
      <c r="Z60" s="43">
        <f>Z59/$AL$6</f>
        <v>0.4</v>
      </c>
      <c r="AA60" s="43"/>
    </row>
    <row r="61" spans="1:27" s="13" customFormat="1" ht="27" customHeight="1">
      <c r="A61" s="153"/>
      <c r="B61" s="153"/>
      <c r="C61" s="153" t="s">
        <v>151</v>
      </c>
      <c r="D61" s="7"/>
      <c r="E61" s="33"/>
      <c r="F61" s="131">
        <v>0.201</v>
      </c>
      <c r="G61" s="131">
        <v>0.17</v>
      </c>
      <c r="H61" s="131">
        <v>0.184</v>
      </c>
      <c r="I61" s="50">
        <f>L61-F61</f>
        <v>0.1215</v>
      </c>
      <c r="J61" s="50">
        <f>M61-G61</f>
        <v>0.11929999999999999</v>
      </c>
      <c r="K61" s="50">
        <f>N61-H61</f>
        <v>0.14889999999999998</v>
      </c>
      <c r="L61" s="131">
        <v>0.3225</v>
      </c>
      <c r="M61" s="131">
        <v>0.2893</v>
      </c>
      <c r="N61" s="131">
        <v>0.3329</v>
      </c>
      <c r="O61" s="45">
        <v>28</v>
      </c>
      <c r="P61" s="7">
        <f>O62-O61</f>
        <v>10</v>
      </c>
      <c r="Q61" s="45">
        <v>39</v>
      </c>
      <c r="R61" s="7">
        <f>Q62-Q61</f>
        <v>10</v>
      </c>
      <c r="S61" s="45">
        <v>28</v>
      </c>
      <c r="T61" s="7">
        <f>S62-S61</f>
        <v>10</v>
      </c>
      <c r="U61" s="45">
        <v>40</v>
      </c>
      <c r="V61" s="7">
        <f>U62-U61</f>
        <v>10</v>
      </c>
      <c r="W61" s="45">
        <v>47</v>
      </c>
      <c r="X61" s="7">
        <f>W62-W61</f>
        <v>10</v>
      </c>
      <c r="Y61" s="45">
        <v>39</v>
      </c>
      <c r="Z61" s="7">
        <f>Y62-Y61</f>
        <v>10</v>
      </c>
      <c r="AA61" s="7"/>
    </row>
    <row r="62" spans="1:27" s="13" customFormat="1" ht="27" customHeight="1">
      <c r="A62" s="153"/>
      <c r="B62" s="153"/>
      <c r="C62" s="153"/>
      <c r="D62" s="7"/>
      <c r="E62" s="33"/>
      <c r="F62" s="131"/>
      <c r="G62" s="131"/>
      <c r="H62" s="131"/>
      <c r="I62" s="50"/>
      <c r="J62" s="50"/>
      <c r="K62" s="50"/>
      <c r="L62" s="131"/>
      <c r="M62" s="131"/>
      <c r="N62" s="131"/>
      <c r="O62" s="45">
        <v>38</v>
      </c>
      <c r="P62" s="43">
        <f>P61/$AB$6</f>
        <v>0.5555555555555556</v>
      </c>
      <c r="Q62" s="45">
        <v>49</v>
      </c>
      <c r="R62" s="43">
        <f>(Q62-Q61)/Q61</f>
        <v>0.2564102564102564</v>
      </c>
      <c r="S62" s="45">
        <v>38</v>
      </c>
      <c r="T62" s="43">
        <f>T61/$AF$6</f>
        <v>0.5555555555555556</v>
      </c>
      <c r="U62" s="45">
        <v>50</v>
      </c>
      <c r="V62" s="43">
        <f>V61/$AH$6</f>
        <v>0.4</v>
      </c>
      <c r="W62" s="45">
        <v>57</v>
      </c>
      <c r="X62" s="43">
        <f>X61/$AJ$6</f>
        <v>0.2857142857142857</v>
      </c>
      <c r="Y62" s="45">
        <v>49</v>
      </c>
      <c r="Z62" s="43">
        <f>Z61/$AL$6</f>
        <v>0.4</v>
      </c>
      <c r="AA62" s="43"/>
    </row>
    <row r="63" spans="1:27" s="13" customFormat="1" ht="27" customHeight="1">
      <c r="A63" s="7">
        <v>10</v>
      </c>
      <c r="B63" s="153" t="s">
        <v>31</v>
      </c>
      <c r="C63" s="153"/>
      <c r="D63" s="7" t="s">
        <v>32</v>
      </c>
      <c r="E63" s="33">
        <v>39264</v>
      </c>
      <c r="F63" s="38">
        <v>0.4743</v>
      </c>
      <c r="G63" s="38">
        <v>0.3037</v>
      </c>
      <c r="H63" s="38">
        <v>0.3187</v>
      </c>
      <c r="I63" s="100"/>
      <c r="J63" s="100"/>
      <c r="K63" s="100"/>
      <c r="L63" s="38"/>
      <c r="M63" s="38"/>
      <c r="N63" s="38"/>
      <c r="O63" s="45">
        <f>26.54+4.5</f>
        <v>31.04</v>
      </c>
      <c r="P63" s="45"/>
      <c r="Q63" s="45">
        <f>36.86+6.25</f>
        <v>43.11</v>
      </c>
      <c r="R63" s="45"/>
      <c r="S63" s="45">
        <f>23.47+4.5</f>
        <v>27.97</v>
      </c>
      <c r="T63" s="45"/>
      <c r="U63" s="45">
        <f>39.11+7.5</f>
        <v>46.61</v>
      </c>
      <c r="V63" s="45"/>
      <c r="W63" s="45">
        <f>45.63+8.75</f>
        <v>54.38</v>
      </c>
      <c r="X63" s="45"/>
      <c r="Y63" s="45">
        <f>32.97+6.25</f>
        <v>39.22</v>
      </c>
      <c r="Z63" s="12"/>
      <c r="AA63" s="12"/>
    </row>
    <row r="64" spans="1:27" s="13" customFormat="1" ht="27" customHeight="1">
      <c r="A64" s="7">
        <v>11</v>
      </c>
      <c r="B64" s="153" t="s">
        <v>40</v>
      </c>
      <c r="C64" s="153"/>
      <c r="D64" s="7" t="s">
        <v>41</v>
      </c>
      <c r="E64" s="33">
        <v>39203</v>
      </c>
      <c r="F64" s="38">
        <v>0.4586</v>
      </c>
      <c r="G64" s="38">
        <v>0.3884</v>
      </c>
      <c r="H64" s="38">
        <v>0.4385</v>
      </c>
      <c r="I64" s="100"/>
      <c r="J64" s="100"/>
      <c r="K64" s="100"/>
      <c r="L64" s="38"/>
      <c r="M64" s="38"/>
      <c r="N64" s="38"/>
      <c r="O64" s="45">
        <f>28+4.5</f>
        <v>32.5</v>
      </c>
      <c r="P64" s="45"/>
      <c r="Q64" s="45">
        <f>42+6.25</f>
        <v>48.25</v>
      </c>
      <c r="R64" s="45"/>
      <c r="S64" s="45">
        <f>26.67+4.5</f>
        <v>31.17</v>
      </c>
      <c r="T64" s="45"/>
      <c r="U64" s="45">
        <f>46.67+7.5</f>
        <v>54.17</v>
      </c>
      <c r="V64" s="45"/>
      <c r="W64" s="45">
        <f>60+8.75</f>
        <v>68.75</v>
      </c>
      <c r="X64" s="45"/>
      <c r="Y64" s="45">
        <f>40.66+6.25</f>
        <v>46.91</v>
      </c>
      <c r="Z64" s="12"/>
      <c r="AA64" s="12"/>
    </row>
    <row r="65" spans="1:27" s="13" customFormat="1" ht="24" customHeight="1">
      <c r="A65" s="153">
        <v>12</v>
      </c>
      <c r="B65" s="153" t="s">
        <v>56</v>
      </c>
      <c r="C65" s="153"/>
      <c r="D65" s="7" t="s">
        <v>57</v>
      </c>
      <c r="E65" s="33">
        <v>39448</v>
      </c>
      <c r="F65" s="131">
        <v>0.44</v>
      </c>
      <c r="G65" s="131">
        <v>0.254</v>
      </c>
      <c r="H65" s="131">
        <v>0.3592</v>
      </c>
      <c r="I65" s="51">
        <f>L65-F65</f>
        <v>0.18519999999999998</v>
      </c>
      <c r="J65" s="51">
        <f>M65-G65</f>
        <v>0.15899999999999997</v>
      </c>
      <c r="K65" s="51">
        <f>N65-H65</f>
        <v>0.17639999999999995</v>
      </c>
      <c r="L65" s="131">
        <v>0.6252</v>
      </c>
      <c r="M65" s="131">
        <v>0.413</v>
      </c>
      <c r="N65" s="131">
        <v>0.5356</v>
      </c>
      <c r="O65" s="45">
        <f>30.42</f>
        <v>30.42</v>
      </c>
      <c r="P65" s="7">
        <f>O66-O65</f>
        <v>0.5399999999999991</v>
      </c>
      <c r="Q65" s="45">
        <f>42.25</f>
        <v>42.25</v>
      </c>
      <c r="R65" s="7">
        <f>Q66-Q65</f>
        <v>5.600000000000001</v>
      </c>
      <c r="S65" s="45">
        <f>30.42</f>
        <v>30.42</v>
      </c>
      <c r="T65" s="7">
        <f>S66-S65</f>
        <v>0.5399999999999991</v>
      </c>
      <c r="U65" s="45">
        <f>44.22</f>
        <v>44.22</v>
      </c>
      <c r="V65" s="7">
        <f>U66-U65</f>
        <v>5.6200000000000045</v>
      </c>
      <c r="W65" s="45">
        <f>53.39</f>
        <v>53.39</v>
      </c>
      <c r="X65" s="7">
        <f>W66-W65</f>
        <v>2.3999999999999986</v>
      </c>
      <c r="Y65" s="45">
        <f>40.23</f>
        <v>40.23</v>
      </c>
      <c r="Z65" s="7">
        <f>Y66-Y65</f>
        <v>4.410000000000004</v>
      </c>
      <c r="AA65" s="7"/>
    </row>
    <row r="66" spans="1:27" s="13" customFormat="1" ht="24" customHeight="1">
      <c r="A66" s="153"/>
      <c r="B66" s="153"/>
      <c r="C66" s="153"/>
      <c r="D66" s="7"/>
      <c r="E66" s="33"/>
      <c r="F66" s="131"/>
      <c r="G66" s="131"/>
      <c r="H66" s="131"/>
      <c r="I66" s="51"/>
      <c r="J66" s="51"/>
      <c r="K66" s="51"/>
      <c r="L66" s="131"/>
      <c r="M66" s="131"/>
      <c r="N66" s="131"/>
      <c r="O66" s="45">
        <v>30.96</v>
      </c>
      <c r="P66" s="43">
        <f>P65/$AB$6</f>
        <v>0.029999999999999954</v>
      </c>
      <c r="Q66" s="45">
        <v>47.85</v>
      </c>
      <c r="R66" s="43">
        <f>R65/$AD$6</f>
        <v>0.22400000000000006</v>
      </c>
      <c r="S66" s="45">
        <v>30.96</v>
      </c>
      <c r="T66" s="43">
        <f>T65/$AF$6</f>
        <v>0.029999999999999954</v>
      </c>
      <c r="U66" s="45">
        <v>49.84</v>
      </c>
      <c r="V66" s="43">
        <f>V65/$AH$6</f>
        <v>0.2248000000000002</v>
      </c>
      <c r="W66" s="45">
        <v>55.79</v>
      </c>
      <c r="X66" s="43">
        <f>X65/$AJ$6</f>
        <v>0.06857142857142853</v>
      </c>
      <c r="Y66" s="45">
        <v>44.64</v>
      </c>
      <c r="Z66" s="43">
        <f>Z65/$AL$6</f>
        <v>0.17640000000000014</v>
      </c>
      <c r="AA66" s="43"/>
    </row>
    <row r="67" spans="1:27" s="13" customFormat="1" ht="26.25" customHeight="1">
      <c r="A67" s="7">
        <v>13</v>
      </c>
      <c r="B67" s="153" t="s">
        <v>46</v>
      </c>
      <c r="C67" s="153"/>
      <c r="D67" s="7" t="s">
        <v>112</v>
      </c>
      <c r="E67" s="33">
        <v>39539</v>
      </c>
      <c r="F67" s="38">
        <v>0.18</v>
      </c>
      <c r="G67" s="38">
        <v>0.22</v>
      </c>
      <c r="H67" s="38">
        <v>0.16</v>
      </c>
      <c r="I67" s="100"/>
      <c r="J67" s="100"/>
      <c r="K67" s="100"/>
      <c r="L67" s="38"/>
      <c r="M67" s="38"/>
      <c r="N67" s="38"/>
      <c r="O67" s="45">
        <f>34.72+4.5</f>
        <v>39.22</v>
      </c>
      <c r="P67" s="45"/>
      <c r="Q67" s="45">
        <f>51.55+6.25</f>
        <v>57.8</v>
      </c>
      <c r="R67" s="45"/>
      <c r="S67" s="45">
        <f>34.72+4.5</f>
        <v>39.22</v>
      </c>
      <c r="T67" s="45"/>
      <c r="U67" s="45">
        <f>55.55+7.5</f>
        <v>63.05</v>
      </c>
      <c r="V67" s="45"/>
      <c r="W67" s="45">
        <f>69.43+8.75</f>
        <v>78.18</v>
      </c>
      <c r="X67" s="45"/>
      <c r="Y67" s="45">
        <f>48.6+6.25</f>
        <v>54.85</v>
      </c>
      <c r="Z67" s="12"/>
      <c r="AA67" s="12"/>
    </row>
    <row r="68" spans="1:27" s="13" customFormat="1" ht="22.5" customHeight="1">
      <c r="A68" s="7">
        <v>14</v>
      </c>
      <c r="B68" s="153" t="s">
        <v>53</v>
      </c>
      <c r="C68" s="153"/>
      <c r="D68" s="7" t="s">
        <v>113</v>
      </c>
      <c r="E68" s="33">
        <v>39600</v>
      </c>
      <c r="F68" s="38">
        <v>0.235</v>
      </c>
      <c r="G68" s="38">
        <v>0.224</v>
      </c>
      <c r="H68" s="38">
        <v>0.22</v>
      </c>
      <c r="I68" s="100"/>
      <c r="J68" s="100"/>
      <c r="K68" s="100"/>
      <c r="L68" s="38"/>
      <c r="M68" s="38"/>
      <c r="N68" s="38"/>
      <c r="O68" s="45">
        <f>28+4.5</f>
        <v>32.5</v>
      </c>
      <c r="P68" s="45"/>
      <c r="Q68" s="45">
        <f>37.85+6.25</f>
        <v>44.1</v>
      </c>
      <c r="R68" s="45"/>
      <c r="S68" s="45">
        <f>28.4+4.5</f>
        <v>32.9</v>
      </c>
      <c r="T68" s="45"/>
      <c r="U68" s="45">
        <f>44.6+7.5</f>
        <v>52.1</v>
      </c>
      <c r="V68" s="45"/>
      <c r="W68" s="45">
        <f>51.35+8.75</f>
        <v>60.1</v>
      </c>
      <c r="X68" s="45"/>
      <c r="Y68" s="45">
        <f>37.35+6.25</f>
        <v>43.6</v>
      </c>
      <c r="Z68" s="12"/>
      <c r="AA68" s="12"/>
    </row>
    <row r="69" spans="1:27" s="13" customFormat="1" ht="18.75" customHeight="1">
      <c r="A69" s="153">
        <v>15</v>
      </c>
      <c r="B69" s="153" t="s">
        <v>65</v>
      </c>
      <c r="C69" s="153" t="s">
        <v>177</v>
      </c>
      <c r="D69" s="7" t="s">
        <v>66</v>
      </c>
      <c r="E69" s="33">
        <v>39295</v>
      </c>
      <c r="F69" s="131">
        <v>0.305</v>
      </c>
      <c r="G69" s="131">
        <v>0.177</v>
      </c>
      <c r="H69" s="131">
        <v>0.392</v>
      </c>
      <c r="I69" s="132">
        <f>L69-F69</f>
        <v>0.04630000000000001</v>
      </c>
      <c r="J69" s="132">
        <f>M69-G69</f>
        <v>0.00470000000000001</v>
      </c>
      <c r="K69" s="132">
        <f>N69-H69</f>
        <v>0</v>
      </c>
      <c r="L69" s="131">
        <v>0.3513</v>
      </c>
      <c r="M69" s="131">
        <v>0.1817</v>
      </c>
      <c r="N69" s="131">
        <v>0.392</v>
      </c>
      <c r="O69" s="46">
        <f>23.43+4.5</f>
        <v>27.93</v>
      </c>
      <c r="P69" s="7">
        <f>O70-O69</f>
        <v>1.4200000000000017</v>
      </c>
      <c r="Q69" s="46">
        <f>32.65+6.25</f>
        <v>38.9</v>
      </c>
      <c r="R69" s="7">
        <f>Q70-Q69</f>
        <v>0.9500000000000028</v>
      </c>
      <c r="S69" s="46">
        <f>23.43+4.5</f>
        <v>27.93</v>
      </c>
      <c r="T69" s="7">
        <f>S70-S69</f>
        <v>1.4200000000000017</v>
      </c>
      <c r="U69" s="46">
        <f>34.8+7.5</f>
        <v>42.3</v>
      </c>
      <c r="V69" s="7">
        <f>U70-U69</f>
        <v>-1.1999999999999957</v>
      </c>
      <c r="W69" s="46">
        <f>40.6+8.75</f>
        <v>49.35</v>
      </c>
      <c r="X69" s="7">
        <f>W70-W69</f>
        <v>1.3999999999999986</v>
      </c>
      <c r="Y69" s="46">
        <f>34.8+6.25</f>
        <v>41.05</v>
      </c>
      <c r="Z69" s="7">
        <f>Y70-Y69</f>
        <v>0</v>
      </c>
      <c r="AA69" s="15"/>
    </row>
    <row r="70" spans="1:27" s="13" customFormat="1" ht="18.75" customHeight="1">
      <c r="A70" s="153"/>
      <c r="B70" s="153"/>
      <c r="C70" s="153"/>
      <c r="D70" s="7"/>
      <c r="E70" s="33"/>
      <c r="F70" s="131"/>
      <c r="G70" s="131"/>
      <c r="H70" s="131"/>
      <c r="I70" s="132"/>
      <c r="J70" s="132"/>
      <c r="K70" s="132"/>
      <c r="L70" s="131"/>
      <c r="M70" s="131"/>
      <c r="N70" s="131"/>
      <c r="O70" s="46">
        <v>29.35</v>
      </c>
      <c r="P70" s="43">
        <f>P69/$AB$6</f>
        <v>0.07888888888888898</v>
      </c>
      <c r="Q70" s="46">
        <v>39.85</v>
      </c>
      <c r="R70" s="43">
        <f>R69/$AD$6</f>
        <v>0.03800000000000012</v>
      </c>
      <c r="S70" s="46">
        <v>29.35</v>
      </c>
      <c r="T70" s="43">
        <f>T69/$AF$6</f>
        <v>0.07888888888888898</v>
      </c>
      <c r="U70" s="46">
        <v>41.1</v>
      </c>
      <c r="V70" s="43">
        <f>V69/$AH$6</f>
        <v>-0.04799999999999983</v>
      </c>
      <c r="W70" s="46">
        <v>50.75</v>
      </c>
      <c r="X70" s="43">
        <f>X69/$AJ$6</f>
        <v>0.03999999999999996</v>
      </c>
      <c r="Y70" s="46">
        <v>41.05</v>
      </c>
      <c r="Z70" s="43">
        <f>Z69/$AL$6</f>
        <v>0</v>
      </c>
      <c r="AA70" s="15"/>
    </row>
    <row r="71" spans="1:29" s="13" customFormat="1" ht="18.75" customHeight="1">
      <c r="A71" s="153"/>
      <c r="B71" s="153"/>
      <c r="C71" s="153" t="s">
        <v>192</v>
      </c>
      <c r="D71" s="153"/>
      <c r="E71" s="153"/>
      <c r="F71" s="131">
        <v>0.2254</v>
      </c>
      <c r="G71" s="131">
        <v>0.1152</v>
      </c>
      <c r="H71" s="131">
        <v>0.2712</v>
      </c>
      <c r="I71" s="132">
        <f>L71-F71</f>
        <v>0.03460000000000002</v>
      </c>
      <c r="J71" s="132">
        <f>M71-G71</f>
        <v>0.0204</v>
      </c>
      <c r="K71" s="132">
        <f>N71-H71</f>
        <v>0.043999999999999984</v>
      </c>
      <c r="L71" s="131">
        <v>0.26</v>
      </c>
      <c r="M71" s="131">
        <v>0.1356</v>
      </c>
      <c r="N71" s="131">
        <v>0.3152</v>
      </c>
      <c r="O71" s="46">
        <f>19.8+4.5</f>
        <v>24.3</v>
      </c>
      <c r="P71" s="7">
        <f>O72-O71</f>
        <v>1.1999999999999993</v>
      </c>
      <c r="Q71" s="46">
        <f>31.42+6.25</f>
        <v>37.67</v>
      </c>
      <c r="R71" s="7">
        <f>Q72-Q71</f>
        <v>1.0799999999999983</v>
      </c>
      <c r="S71" s="46">
        <f>19.8+4.5</f>
        <v>24.3</v>
      </c>
      <c r="T71" s="7">
        <f>S72-S71</f>
        <v>1.1999999999999993</v>
      </c>
      <c r="U71" s="46">
        <f>33.64+7.5</f>
        <v>41.14</v>
      </c>
      <c r="V71" s="7">
        <f>U72-U71</f>
        <v>0.28000000000000114</v>
      </c>
      <c r="W71" s="46">
        <f>37.7+8.75</f>
        <v>46.45</v>
      </c>
      <c r="X71" s="7">
        <f>W72-W71</f>
        <v>2.1999999999999957</v>
      </c>
      <c r="Y71" s="46">
        <f>31.78+6.25</f>
        <v>38.03</v>
      </c>
      <c r="Z71" s="7">
        <f>Y72-Y71</f>
        <v>1.1000000000000014</v>
      </c>
      <c r="AA71" s="15"/>
      <c r="AC71" s="7"/>
    </row>
    <row r="72" spans="1:29" s="13" customFormat="1" ht="18.75" customHeight="1">
      <c r="A72" s="153"/>
      <c r="B72" s="153"/>
      <c r="C72" s="153"/>
      <c r="D72" s="153"/>
      <c r="E72" s="153"/>
      <c r="F72" s="131"/>
      <c r="G72" s="131"/>
      <c r="H72" s="131"/>
      <c r="I72" s="132"/>
      <c r="J72" s="132"/>
      <c r="K72" s="132"/>
      <c r="L72" s="131"/>
      <c r="M72" s="131"/>
      <c r="N72" s="131"/>
      <c r="O72" s="46">
        <v>25.5</v>
      </c>
      <c r="P72" s="43">
        <f>P71/$AB$6</f>
        <v>0.06666666666666662</v>
      </c>
      <c r="Q72" s="46">
        <v>38.75</v>
      </c>
      <c r="R72" s="43">
        <f>R71/$AD$6</f>
        <v>0.04319999999999993</v>
      </c>
      <c r="S72" s="46">
        <v>25.5</v>
      </c>
      <c r="T72" s="43">
        <f>T71/$AF$6</f>
        <v>0.06666666666666662</v>
      </c>
      <c r="U72" s="46">
        <v>41.42</v>
      </c>
      <c r="V72" s="43">
        <f>V71/$AH$6</f>
        <v>0.011200000000000045</v>
      </c>
      <c r="W72" s="46">
        <v>48.65</v>
      </c>
      <c r="X72" s="43">
        <f>X71/$AJ$6</f>
        <v>0.06285714285714274</v>
      </c>
      <c r="Y72" s="46">
        <v>39.13</v>
      </c>
      <c r="Z72" s="43">
        <f>Z71/$AL$6</f>
        <v>0.04400000000000006</v>
      </c>
      <c r="AA72" s="15"/>
      <c r="AC72" s="7"/>
    </row>
    <row r="73" spans="1:29" s="13" customFormat="1" ht="18.75" customHeight="1">
      <c r="A73" s="153"/>
      <c r="B73" s="153"/>
      <c r="C73" s="153" t="s">
        <v>193</v>
      </c>
      <c r="D73" s="153"/>
      <c r="E73" s="153"/>
      <c r="F73" s="131">
        <v>0.213</v>
      </c>
      <c r="G73" s="131">
        <v>0.132</v>
      </c>
      <c r="H73" s="131">
        <v>0.2644</v>
      </c>
      <c r="I73" s="132">
        <f>L73-F73</f>
        <v>0.06350000000000003</v>
      </c>
      <c r="J73" s="132">
        <f>M73-G73</f>
        <v>0.011199999999999988</v>
      </c>
      <c r="K73" s="132">
        <f>N73-H73</f>
        <v>0.04359999999999997</v>
      </c>
      <c r="L73" s="131">
        <v>0.2765</v>
      </c>
      <c r="M73" s="131">
        <v>0.1432</v>
      </c>
      <c r="N73" s="131">
        <v>0.308</v>
      </c>
      <c r="O73" s="46">
        <f>19.8+4.5</f>
        <v>24.3</v>
      </c>
      <c r="P73" s="7">
        <f>O74-O73</f>
        <v>1.1999999999999993</v>
      </c>
      <c r="Q73" s="46">
        <f>31.03+6.25</f>
        <v>37.28</v>
      </c>
      <c r="R73" s="7">
        <f>Q74-Q73</f>
        <v>1.5700000000000003</v>
      </c>
      <c r="S73" s="46">
        <f>19.8+4.5</f>
        <v>24.3</v>
      </c>
      <c r="T73" s="7">
        <f>S74-S73</f>
        <v>1.1999999999999993</v>
      </c>
      <c r="U73" s="46">
        <f>34.22+7.5</f>
        <v>41.72</v>
      </c>
      <c r="V73" s="7">
        <f>U74-U73</f>
        <v>-0.04999999999999716</v>
      </c>
      <c r="W73" s="46">
        <f>38.28+8.75</f>
        <v>47.03</v>
      </c>
      <c r="X73" s="7">
        <f>W74-W73</f>
        <v>1.9200000000000017</v>
      </c>
      <c r="Y73" s="46">
        <f>31.61+6.25</f>
        <v>37.86</v>
      </c>
      <c r="Z73" s="7">
        <f>Y74-Y73</f>
        <v>1.0900000000000034</v>
      </c>
      <c r="AA73" s="15"/>
      <c r="AC73" s="7"/>
    </row>
    <row r="74" spans="1:29" s="13" customFormat="1" ht="18.75" customHeight="1">
      <c r="A74" s="153"/>
      <c r="B74" s="153"/>
      <c r="C74" s="153"/>
      <c r="D74" s="153"/>
      <c r="E74" s="153"/>
      <c r="F74" s="131"/>
      <c r="G74" s="131"/>
      <c r="H74" s="131"/>
      <c r="I74" s="132"/>
      <c r="J74" s="132"/>
      <c r="K74" s="132"/>
      <c r="L74" s="131"/>
      <c r="M74" s="131"/>
      <c r="N74" s="131"/>
      <c r="O74" s="46">
        <v>25.5</v>
      </c>
      <c r="P74" s="43">
        <f>P73/$AB$6</f>
        <v>0.06666666666666662</v>
      </c>
      <c r="Q74" s="46">
        <v>38.85</v>
      </c>
      <c r="R74" s="43">
        <f>R73/$AD$6</f>
        <v>0.06280000000000001</v>
      </c>
      <c r="S74" s="46">
        <v>25.5</v>
      </c>
      <c r="T74" s="43">
        <f>T73/$AF$6</f>
        <v>0.06666666666666662</v>
      </c>
      <c r="U74" s="46">
        <v>41.67</v>
      </c>
      <c r="V74" s="43">
        <f>V73/$AH$6</f>
        <v>-0.0019999999999998864</v>
      </c>
      <c r="W74" s="46">
        <v>48.95</v>
      </c>
      <c r="X74" s="43">
        <f>X73/$AJ$6</f>
        <v>0.0548571428571429</v>
      </c>
      <c r="Y74" s="46">
        <v>38.95</v>
      </c>
      <c r="Z74" s="43">
        <f>Z73/$AL$6</f>
        <v>0.04360000000000014</v>
      </c>
      <c r="AA74" s="15"/>
      <c r="AC74" s="7"/>
    </row>
    <row r="75" spans="1:27" s="13" customFormat="1" ht="18.75" customHeight="1">
      <c r="A75" s="153"/>
      <c r="B75" s="153"/>
      <c r="C75" s="153" t="s">
        <v>194</v>
      </c>
      <c r="D75" s="153"/>
      <c r="E75" s="153"/>
      <c r="F75" s="131">
        <v>0.3824</v>
      </c>
      <c r="G75" s="131">
        <v>0.1308</v>
      </c>
      <c r="H75" s="131">
        <v>0.4342</v>
      </c>
      <c r="I75" s="132">
        <f>L75-F75</f>
        <v>0.055999999999999994</v>
      </c>
      <c r="J75" s="132">
        <f>M75-G75</f>
        <v>0.00789999999999999</v>
      </c>
      <c r="K75" s="132">
        <f>N75-H75</f>
        <v>0.005800000000000027</v>
      </c>
      <c r="L75" s="131">
        <v>0.4384</v>
      </c>
      <c r="M75" s="131">
        <v>0.1387</v>
      </c>
      <c r="N75" s="131">
        <v>0.44</v>
      </c>
      <c r="O75" s="46">
        <f>26.4+4.5</f>
        <v>30.9</v>
      </c>
      <c r="P75" s="7">
        <f>O76-O75</f>
        <v>-1.1999999999999993</v>
      </c>
      <c r="Q75" s="46">
        <f>37.02+6.25</f>
        <v>43.27</v>
      </c>
      <c r="R75" s="7">
        <f>Q76-Q75</f>
        <v>-0.8200000000000003</v>
      </c>
      <c r="S75" s="46">
        <f>26.4+4.5</f>
        <v>30.9</v>
      </c>
      <c r="T75" s="7">
        <f>S76-S75</f>
        <v>-1.1999999999999993</v>
      </c>
      <c r="U75" s="46">
        <f>33.64+7.5</f>
        <v>41.14</v>
      </c>
      <c r="V75" s="7">
        <f>U76-U75</f>
        <v>-0.759999999999998</v>
      </c>
      <c r="W75" s="46">
        <f>39.44+8.75</f>
        <v>48.19</v>
      </c>
      <c r="X75" s="7">
        <f>W76-W75</f>
        <v>1.6600000000000037</v>
      </c>
      <c r="Y75" s="46">
        <f>38.57+6.25</f>
        <v>44.82</v>
      </c>
      <c r="Z75" s="7">
        <f>Y76-Y75</f>
        <v>-2.5700000000000003</v>
      </c>
      <c r="AA75" s="15"/>
    </row>
    <row r="76" spans="1:27" s="13" customFormat="1" ht="18.75" customHeight="1">
      <c r="A76" s="153"/>
      <c r="B76" s="153"/>
      <c r="C76" s="153"/>
      <c r="D76" s="153"/>
      <c r="E76" s="153"/>
      <c r="F76" s="131"/>
      <c r="G76" s="131"/>
      <c r="H76" s="131"/>
      <c r="I76" s="132"/>
      <c r="J76" s="132"/>
      <c r="K76" s="132"/>
      <c r="L76" s="131"/>
      <c r="M76" s="131"/>
      <c r="N76" s="131"/>
      <c r="O76" s="46">
        <v>29.7</v>
      </c>
      <c r="P76" s="43">
        <f>P75/$AB$6</f>
        <v>-0.06666666666666662</v>
      </c>
      <c r="Q76" s="46">
        <v>42.45</v>
      </c>
      <c r="R76" s="43">
        <f>R75/$AD$6</f>
        <v>-0.03280000000000001</v>
      </c>
      <c r="S76" s="46">
        <v>29.7</v>
      </c>
      <c r="T76" s="43">
        <f>T75/$AF$6</f>
        <v>-0.06666666666666662</v>
      </c>
      <c r="U76" s="46">
        <v>40.38</v>
      </c>
      <c r="V76" s="43">
        <f>V75/$AH$6</f>
        <v>-0.03039999999999992</v>
      </c>
      <c r="W76" s="46">
        <v>49.85</v>
      </c>
      <c r="X76" s="43">
        <f>X75/$AJ$6</f>
        <v>0.047428571428571535</v>
      </c>
      <c r="Y76" s="46">
        <v>42.25</v>
      </c>
      <c r="Z76" s="43">
        <f>Z75/$AL$6</f>
        <v>-0.10280000000000002</v>
      </c>
      <c r="AA76" s="15"/>
    </row>
    <row r="77" spans="1:27" s="13" customFormat="1" ht="18.75" customHeight="1">
      <c r="A77" s="153"/>
      <c r="B77" s="153"/>
      <c r="C77" s="153" t="s">
        <v>195</v>
      </c>
      <c r="D77" s="153"/>
      <c r="E77" s="153"/>
      <c r="F77" s="131">
        <v>0.3929</v>
      </c>
      <c r="G77" s="131">
        <v>0.107</v>
      </c>
      <c r="H77" s="131">
        <v>0.4157</v>
      </c>
      <c r="I77" s="132">
        <f>L77-F77</f>
        <v>0.06539999999999996</v>
      </c>
      <c r="J77" s="132">
        <f>M77-G77</f>
        <v>0.026700000000000015</v>
      </c>
      <c r="K77" s="132">
        <f>N77-H77</f>
        <v>0.0363</v>
      </c>
      <c r="L77" s="131">
        <v>0.4583</v>
      </c>
      <c r="M77" s="131">
        <v>0.1337</v>
      </c>
      <c r="N77" s="131">
        <v>0.452</v>
      </c>
      <c r="O77" s="46">
        <f>25.08+4.5</f>
        <v>29.58</v>
      </c>
      <c r="P77" s="7">
        <f>O78-O77</f>
        <v>0.4700000000000024</v>
      </c>
      <c r="Q77" s="46">
        <f>37.89+6.25</f>
        <v>44.14</v>
      </c>
      <c r="R77" s="7">
        <f>Q78-Q77</f>
        <v>-1.1899999999999977</v>
      </c>
      <c r="S77" s="7">
        <f>R78-R77</f>
        <v>1.1423999999999979</v>
      </c>
      <c r="T77" s="7">
        <f>S78-S77</f>
        <v>-2.102399999999998</v>
      </c>
      <c r="U77" s="46">
        <f>33.06+7.5</f>
        <v>40.56</v>
      </c>
      <c r="V77" s="7">
        <f>U78-U77</f>
        <v>-0.4200000000000017</v>
      </c>
      <c r="W77" s="46">
        <f>38.86+8.75</f>
        <v>47.61</v>
      </c>
      <c r="X77" s="7">
        <f>W78-W77</f>
        <v>1.9399999999999977</v>
      </c>
      <c r="Y77" s="46">
        <f>37.99+6.25</f>
        <v>44.24</v>
      </c>
      <c r="Z77" s="7">
        <f>Y78-Y77</f>
        <v>-1.6900000000000048</v>
      </c>
      <c r="AA77" s="15"/>
    </row>
    <row r="78" spans="1:30" s="13" customFormat="1" ht="18.75" customHeight="1">
      <c r="A78" s="153"/>
      <c r="B78" s="153"/>
      <c r="C78" s="153"/>
      <c r="D78" s="153"/>
      <c r="E78" s="153"/>
      <c r="F78" s="131"/>
      <c r="G78" s="131"/>
      <c r="H78" s="131"/>
      <c r="I78" s="132"/>
      <c r="J78" s="132"/>
      <c r="K78" s="132"/>
      <c r="L78" s="131"/>
      <c r="M78" s="131"/>
      <c r="N78" s="131"/>
      <c r="O78" s="46">
        <v>30.05</v>
      </c>
      <c r="P78" s="43">
        <f>P77/$AB$6</f>
        <v>0.026111111111111245</v>
      </c>
      <c r="Q78" s="46">
        <v>42.95</v>
      </c>
      <c r="R78" s="43">
        <f>R77/$AD$6</f>
        <v>-0.047599999999999906</v>
      </c>
      <c r="S78" s="43">
        <f>(R78-R77)/R77</f>
        <v>-0.9600000000000001</v>
      </c>
      <c r="T78" s="43">
        <f>T77/$AF$6</f>
        <v>-0.11679999999999989</v>
      </c>
      <c r="U78" s="46">
        <v>40.14</v>
      </c>
      <c r="V78" s="43">
        <f>V77/$AH$6</f>
        <v>-0.01680000000000007</v>
      </c>
      <c r="W78" s="46">
        <v>49.55</v>
      </c>
      <c r="X78" s="43">
        <f>X77/$AJ$6</f>
        <v>0.05542857142857136</v>
      </c>
      <c r="Y78" s="46">
        <v>42.55</v>
      </c>
      <c r="Z78" s="43">
        <f>Z77/$AL$6</f>
        <v>-0.06760000000000019</v>
      </c>
      <c r="AA78" s="15"/>
      <c r="AD78" s="24"/>
    </row>
    <row r="79" spans="1:27" s="13" customFormat="1" ht="21.75" customHeight="1">
      <c r="A79" s="7">
        <v>16</v>
      </c>
      <c r="B79" s="140" t="s">
        <v>71</v>
      </c>
      <c r="C79" s="141"/>
      <c r="D79" s="7" t="s">
        <v>72</v>
      </c>
      <c r="E79" s="33">
        <v>39448</v>
      </c>
      <c r="F79" s="38">
        <v>0.6156</v>
      </c>
      <c r="G79" s="38">
        <v>0.6453</v>
      </c>
      <c r="H79" s="38">
        <v>0.6508</v>
      </c>
      <c r="I79" s="100"/>
      <c r="J79" s="100"/>
      <c r="K79" s="100"/>
      <c r="L79" s="38"/>
      <c r="M79" s="38"/>
      <c r="N79" s="38"/>
      <c r="O79" s="45">
        <f>39.5</f>
        <v>39.5</v>
      </c>
      <c r="P79" s="45"/>
      <c r="Q79" s="45">
        <f>58.25</f>
        <v>58.25</v>
      </c>
      <c r="R79" s="45"/>
      <c r="S79" s="45">
        <f>39.5</f>
        <v>39.5</v>
      </c>
      <c r="T79" s="45"/>
      <c r="U79" s="45">
        <f>64.5</f>
        <v>64.5</v>
      </c>
      <c r="V79" s="45"/>
      <c r="W79" s="45">
        <f>73.75</f>
        <v>73.75</v>
      </c>
      <c r="X79" s="45"/>
      <c r="Y79" s="45">
        <f>62.25</f>
        <v>62.25</v>
      </c>
      <c r="Z79" s="12"/>
      <c r="AA79" s="12"/>
    </row>
    <row r="80" spans="1:27" s="13" customFormat="1" ht="26.25" customHeight="1">
      <c r="A80" s="7">
        <v>17</v>
      </c>
      <c r="B80" s="153" t="s">
        <v>50</v>
      </c>
      <c r="C80" s="153"/>
      <c r="D80" s="7" t="s">
        <v>51</v>
      </c>
      <c r="E80" s="33">
        <v>39448</v>
      </c>
      <c r="F80" s="38">
        <v>0.3782</v>
      </c>
      <c r="G80" s="38">
        <v>0.2571</v>
      </c>
      <c r="H80" s="38">
        <v>0.4</v>
      </c>
      <c r="I80" s="100"/>
      <c r="J80" s="100"/>
      <c r="K80" s="100"/>
      <c r="L80" s="38"/>
      <c r="M80" s="38"/>
      <c r="N80" s="38"/>
      <c r="O80" s="45">
        <f>35+4.5</f>
        <v>39.5</v>
      </c>
      <c r="P80" s="45"/>
      <c r="Q80" s="45">
        <f>48+6.25</f>
        <v>54.25</v>
      </c>
      <c r="R80" s="45"/>
      <c r="S80" s="45">
        <f>35+4.5</f>
        <v>39.5</v>
      </c>
      <c r="T80" s="45"/>
      <c r="U80" s="45">
        <f>55+7.5</f>
        <v>62.5</v>
      </c>
      <c r="V80" s="45"/>
      <c r="W80" s="45">
        <f>60+8.75</f>
        <v>68.75</v>
      </c>
      <c r="X80" s="45"/>
      <c r="Y80" s="45">
        <f>50+6.25</f>
        <v>56.25</v>
      </c>
      <c r="Z80" s="12"/>
      <c r="AA80" s="12"/>
    </row>
    <row r="81" spans="1:27" s="13" customFormat="1" ht="20.25" customHeight="1">
      <c r="A81" s="7">
        <v>18</v>
      </c>
      <c r="B81" s="153" t="s">
        <v>62</v>
      </c>
      <c r="C81" s="153"/>
      <c r="D81" s="7" t="s">
        <v>115</v>
      </c>
      <c r="E81" s="33">
        <v>39569</v>
      </c>
      <c r="F81" s="38">
        <v>0.3478</v>
      </c>
      <c r="G81" s="38">
        <v>0.3093</v>
      </c>
      <c r="H81" s="38">
        <v>0.3168</v>
      </c>
      <c r="I81" s="100"/>
      <c r="J81" s="100"/>
      <c r="K81" s="100"/>
      <c r="L81" s="38"/>
      <c r="M81" s="38"/>
      <c r="N81" s="38"/>
      <c r="O81" s="45">
        <f>33+4.5</f>
        <v>37.5</v>
      </c>
      <c r="P81" s="45"/>
      <c r="Q81" s="45">
        <f>43.5+6.25</f>
        <v>49.75</v>
      </c>
      <c r="R81" s="45"/>
      <c r="S81" s="45">
        <f>33+4.5</f>
        <v>37.5</v>
      </c>
      <c r="T81" s="45"/>
      <c r="U81" s="45">
        <f>46.5+7.5</f>
        <v>54</v>
      </c>
      <c r="V81" s="45"/>
      <c r="W81" s="45">
        <f>65+8.75</f>
        <v>73.75</v>
      </c>
      <c r="X81" s="45"/>
      <c r="Y81" s="45">
        <f>42.5+6.25</f>
        <v>48.75</v>
      </c>
      <c r="Z81" s="12"/>
      <c r="AA81" s="12"/>
    </row>
    <row r="82" spans="1:27" s="13" customFormat="1" ht="24.75" customHeight="1">
      <c r="A82" s="7">
        <v>19</v>
      </c>
      <c r="B82" s="153" t="s">
        <v>34</v>
      </c>
      <c r="C82" s="153"/>
      <c r="D82" s="7" t="s">
        <v>35</v>
      </c>
      <c r="E82" s="33">
        <v>39203</v>
      </c>
      <c r="F82" s="38">
        <v>0.5578</v>
      </c>
      <c r="G82" s="38">
        <v>0.481</v>
      </c>
      <c r="H82" s="38">
        <v>0.6</v>
      </c>
      <c r="I82" s="100"/>
      <c r="J82" s="100"/>
      <c r="K82" s="100"/>
      <c r="L82" s="38"/>
      <c r="M82" s="38"/>
      <c r="N82" s="38"/>
      <c r="O82" s="45">
        <f>25+4.5</f>
        <v>29.5</v>
      </c>
      <c r="P82" s="45"/>
      <c r="Q82" s="45">
        <f>40+6.25</f>
        <v>46.25</v>
      </c>
      <c r="R82" s="45"/>
      <c r="S82" s="45">
        <f>25+4.5</f>
        <v>29.5</v>
      </c>
      <c r="T82" s="45"/>
      <c r="U82" s="45">
        <f>45+7.5</f>
        <v>52.5</v>
      </c>
      <c r="V82" s="45"/>
      <c r="W82" s="45">
        <f>50+8.75</f>
        <v>58.75</v>
      </c>
      <c r="X82" s="45"/>
      <c r="Y82" s="45">
        <f>40+6.25</f>
        <v>46.25</v>
      </c>
      <c r="Z82" s="12"/>
      <c r="AA82" s="12"/>
    </row>
    <row r="83" spans="1:27" s="13" customFormat="1" ht="20.25" customHeight="1">
      <c r="A83" s="154">
        <v>20</v>
      </c>
      <c r="B83" s="113" t="s">
        <v>80</v>
      </c>
      <c r="C83" s="114"/>
      <c r="D83" s="7" t="s">
        <v>81</v>
      </c>
      <c r="E83" s="33">
        <v>39264</v>
      </c>
      <c r="F83" s="117">
        <v>0.4075</v>
      </c>
      <c r="G83" s="117">
        <v>0.328</v>
      </c>
      <c r="H83" s="117">
        <v>0.396</v>
      </c>
      <c r="I83" s="119">
        <f>L83-F83</f>
        <v>0.11180000000000001</v>
      </c>
      <c r="J83" s="119">
        <f>M83-G83</f>
        <v>0.10769999999999996</v>
      </c>
      <c r="K83" s="119">
        <f>N83-H83</f>
        <v>0.11199999999999999</v>
      </c>
      <c r="L83" s="117">
        <v>0.5193</v>
      </c>
      <c r="M83" s="117">
        <v>0.4357</v>
      </c>
      <c r="N83" s="117">
        <v>0.508</v>
      </c>
      <c r="O83" s="45">
        <f>25.3+4.5</f>
        <v>29.8</v>
      </c>
      <c r="P83" s="7">
        <f>O84-O83</f>
        <v>2</v>
      </c>
      <c r="Q83" s="45">
        <f>35.2+6.25</f>
        <v>41.45</v>
      </c>
      <c r="R83" s="7">
        <f>Q84-Q83</f>
        <v>2.8499999999999943</v>
      </c>
      <c r="S83" s="45">
        <f>25.3+4.5</f>
        <v>29.8</v>
      </c>
      <c r="T83" s="7">
        <f>S84-S83</f>
        <v>2</v>
      </c>
      <c r="U83" s="45">
        <f>39.4+7.5</f>
        <v>46.9</v>
      </c>
      <c r="V83" s="7">
        <f>U84-U83</f>
        <v>3.200000000000003</v>
      </c>
      <c r="W83" s="45">
        <f>47.7+8.75</f>
        <v>56.45</v>
      </c>
      <c r="X83" s="7">
        <f>W84-W83</f>
        <v>3.8499999999999943</v>
      </c>
      <c r="Y83" s="45">
        <f>34.9+6.25</f>
        <v>41.15</v>
      </c>
      <c r="Z83" s="7">
        <f>Y84-Y83</f>
        <v>2.8500000000000014</v>
      </c>
      <c r="AA83" s="12"/>
    </row>
    <row r="84" spans="1:27" s="13" customFormat="1" ht="19.5" customHeight="1">
      <c r="A84" s="155"/>
      <c r="B84" s="115"/>
      <c r="C84" s="116"/>
      <c r="D84" s="7"/>
      <c r="E84" s="33"/>
      <c r="F84" s="118"/>
      <c r="G84" s="118"/>
      <c r="H84" s="118"/>
      <c r="I84" s="120"/>
      <c r="J84" s="120"/>
      <c r="K84" s="120"/>
      <c r="L84" s="118"/>
      <c r="M84" s="118"/>
      <c r="N84" s="118"/>
      <c r="O84" s="45">
        <v>31.8</v>
      </c>
      <c r="P84" s="43">
        <f>P83/$AB$6</f>
        <v>0.1111111111111111</v>
      </c>
      <c r="Q84" s="45">
        <v>44.3</v>
      </c>
      <c r="R84" s="43">
        <f>R83/$AD$6</f>
        <v>0.11399999999999977</v>
      </c>
      <c r="S84" s="45">
        <v>31.8</v>
      </c>
      <c r="T84" s="43">
        <f>T83/$AF$6</f>
        <v>0.1111111111111111</v>
      </c>
      <c r="U84" s="45">
        <v>50.1</v>
      </c>
      <c r="V84" s="43">
        <f>V83/$AH$6</f>
        <v>0.1280000000000001</v>
      </c>
      <c r="W84" s="45">
        <v>60.3</v>
      </c>
      <c r="X84" s="43">
        <f>X83/$AJ$6</f>
        <v>0.10999999999999983</v>
      </c>
      <c r="Y84" s="45">
        <v>44</v>
      </c>
      <c r="Z84" s="43">
        <f>Z83/$AL$6</f>
        <v>0.11400000000000006</v>
      </c>
      <c r="AA84" s="12"/>
    </row>
    <row r="85" spans="1:27" s="13" customFormat="1" ht="26.25" customHeight="1">
      <c r="A85" s="7">
        <v>21</v>
      </c>
      <c r="B85" s="140" t="s">
        <v>76</v>
      </c>
      <c r="C85" s="141"/>
      <c r="D85" s="7" t="s">
        <v>83</v>
      </c>
      <c r="E85" s="33">
        <v>39264</v>
      </c>
      <c r="F85" s="38">
        <v>0.86</v>
      </c>
      <c r="G85" s="38">
        <v>0.62</v>
      </c>
      <c r="H85" s="38">
        <v>0.78</v>
      </c>
      <c r="I85" s="100"/>
      <c r="J85" s="100"/>
      <c r="K85" s="100"/>
      <c r="L85" s="38"/>
      <c r="M85" s="38"/>
      <c r="N85" s="38"/>
      <c r="O85" s="45">
        <f>26+4.5</f>
        <v>30.5</v>
      </c>
      <c r="P85" s="45"/>
      <c r="Q85" s="45">
        <f>49+6.25</f>
        <v>55.25</v>
      </c>
      <c r="R85" s="45"/>
      <c r="S85" s="45">
        <f>26+4.5</f>
        <v>30.5</v>
      </c>
      <c r="T85" s="45"/>
      <c r="U85" s="45">
        <f>50+7.5</f>
        <v>57.5</v>
      </c>
      <c r="V85" s="45"/>
      <c r="W85" s="45">
        <f>51+8.75</f>
        <v>59.75</v>
      </c>
      <c r="X85" s="45"/>
      <c r="Y85" s="45">
        <f>44+6.25</f>
        <v>50.25</v>
      </c>
      <c r="Z85" s="12"/>
      <c r="AA85" s="12"/>
    </row>
    <row r="86" spans="1:27" s="13" customFormat="1" ht="26.25" customHeight="1">
      <c r="A86" s="7">
        <v>22</v>
      </c>
      <c r="B86" s="140" t="s">
        <v>77</v>
      </c>
      <c r="C86" s="141"/>
      <c r="D86" s="7" t="s">
        <v>119</v>
      </c>
      <c r="E86" s="33">
        <v>39600</v>
      </c>
      <c r="F86" s="38">
        <v>0.84</v>
      </c>
      <c r="G86" s="38">
        <v>0.73</v>
      </c>
      <c r="H86" s="38">
        <v>0.7</v>
      </c>
      <c r="I86" s="100"/>
      <c r="J86" s="100"/>
      <c r="K86" s="100"/>
      <c r="L86" s="38"/>
      <c r="M86" s="38"/>
      <c r="N86" s="38"/>
      <c r="O86" s="45">
        <v>38</v>
      </c>
      <c r="P86" s="45"/>
      <c r="Q86" s="45">
        <v>52</v>
      </c>
      <c r="R86" s="45"/>
      <c r="S86" s="45">
        <v>38</v>
      </c>
      <c r="T86" s="45"/>
      <c r="U86" s="45">
        <v>59</v>
      </c>
      <c r="V86" s="45"/>
      <c r="W86" s="45">
        <v>71</v>
      </c>
      <c r="X86" s="45"/>
      <c r="Y86" s="45">
        <v>49</v>
      </c>
      <c r="Z86" s="12"/>
      <c r="AA86" s="12"/>
    </row>
    <row r="87" spans="1:27" s="13" customFormat="1" ht="57.75" customHeight="1">
      <c r="A87" s="123" t="s">
        <v>85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42"/>
      <c r="AA87" s="42"/>
    </row>
    <row r="94" ht="12.75" thickBot="1"/>
    <row r="95" spans="8:27" ht="14.25" customHeight="1">
      <c r="H95" s="25"/>
      <c r="I95" s="102"/>
      <c r="J95" s="102"/>
      <c r="K95" s="102"/>
      <c r="L95" s="68"/>
      <c r="M95" s="68"/>
      <c r="N95" s="68"/>
      <c r="O95" s="25"/>
      <c r="P95" s="25"/>
      <c r="Q95" s="25"/>
      <c r="R95" s="25"/>
      <c r="S95" s="25"/>
      <c r="T95" s="25"/>
      <c r="U95" s="25"/>
      <c r="V95" s="25"/>
      <c r="W95" s="25"/>
      <c r="X95" s="41"/>
      <c r="Y95" s="26"/>
      <c r="Z95" s="26"/>
      <c r="AA95" s="26"/>
    </row>
    <row r="96" spans="8:27" ht="14.25" customHeight="1">
      <c r="H96" s="27"/>
      <c r="I96" s="103"/>
      <c r="J96" s="103"/>
      <c r="K96" s="103"/>
      <c r="L96" s="69"/>
      <c r="M96" s="69"/>
      <c r="N96" s="69"/>
      <c r="O96" s="27"/>
      <c r="P96" s="27"/>
      <c r="Q96" s="27"/>
      <c r="R96" s="27"/>
      <c r="S96" s="27"/>
      <c r="T96" s="27"/>
      <c r="U96" s="27"/>
      <c r="V96" s="27"/>
      <c r="W96" s="27"/>
      <c r="X96" s="41"/>
      <c r="Y96" s="26"/>
      <c r="Z96" s="26"/>
      <c r="AA96" s="26"/>
    </row>
    <row r="97" spans="8:27" ht="14.25" customHeight="1">
      <c r="H97" s="27"/>
      <c r="I97" s="103"/>
      <c r="J97" s="103"/>
      <c r="K97" s="103"/>
      <c r="L97" s="69"/>
      <c r="M97" s="69"/>
      <c r="N97" s="69"/>
      <c r="O97" s="27"/>
      <c r="P97" s="27"/>
      <c r="Q97" s="27"/>
      <c r="R97" s="27"/>
      <c r="S97" s="27"/>
      <c r="T97" s="27"/>
      <c r="U97" s="27"/>
      <c r="V97" s="27"/>
      <c r="W97" s="27"/>
      <c r="X97" s="41"/>
      <c r="Y97" s="26"/>
      <c r="Z97" s="26"/>
      <c r="AA97" s="26"/>
    </row>
    <row r="98" spans="8:27" ht="14.25" customHeight="1">
      <c r="H98" s="27"/>
      <c r="I98" s="103"/>
      <c r="J98" s="103"/>
      <c r="K98" s="103"/>
      <c r="L98" s="69"/>
      <c r="M98" s="69"/>
      <c r="N98" s="69"/>
      <c r="O98" s="27"/>
      <c r="P98" s="27"/>
      <c r="Q98" s="27"/>
      <c r="R98" s="27"/>
      <c r="S98" s="27"/>
      <c r="T98" s="27"/>
      <c r="U98" s="27"/>
      <c r="V98" s="27"/>
      <c r="W98" s="27"/>
      <c r="X98" s="41"/>
      <c r="Y98" s="26"/>
      <c r="Z98" s="26"/>
      <c r="AA98" s="26"/>
    </row>
    <row r="99" spans="8:27" ht="14.25" customHeight="1">
      <c r="H99" s="27"/>
      <c r="I99" s="103"/>
      <c r="J99" s="103"/>
      <c r="K99" s="103"/>
      <c r="L99" s="69"/>
      <c r="M99" s="69"/>
      <c r="N99" s="69"/>
      <c r="O99" s="27"/>
      <c r="P99" s="27"/>
      <c r="Q99" s="27"/>
      <c r="R99" s="27"/>
      <c r="S99" s="27"/>
      <c r="T99" s="27"/>
      <c r="U99" s="27"/>
      <c r="V99" s="27"/>
      <c r="W99" s="27"/>
      <c r="X99" s="41"/>
      <c r="Y99" s="26"/>
      <c r="Z99" s="26"/>
      <c r="AA99" s="26"/>
    </row>
    <row r="100" spans="8:27" ht="15" customHeight="1" thickBot="1">
      <c r="H100" s="28"/>
      <c r="I100" s="104"/>
      <c r="J100" s="104"/>
      <c r="K100" s="104"/>
      <c r="L100" s="70"/>
      <c r="M100" s="70"/>
      <c r="N100" s="70"/>
      <c r="O100" s="28"/>
      <c r="P100" s="28"/>
      <c r="Q100" s="28"/>
      <c r="R100" s="28"/>
      <c r="S100" s="28"/>
      <c r="T100" s="28"/>
      <c r="U100" s="28"/>
      <c r="V100" s="28"/>
      <c r="W100" s="28"/>
      <c r="X100" s="41"/>
      <c r="Y100" s="26"/>
      <c r="Z100" s="26"/>
      <c r="AA100" s="26"/>
    </row>
    <row r="101" ht="12.75" thickBot="1"/>
    <row r="102" spans="25:27" ht="14.25" customHeight="1">
      <c r="Y102" s="164"/>
      <c r="Z102" s="41"/>
      <c r="AA102" s="41"/>
    </row>
    <row r="103" spans="25:27" ht="14.25" customHeight="1">
      <c r="Y103" s="165"/>
      <c r="Z103" s="41"/>
      <c r="AA103" s="41"/>
    </row>
    <row r="104" spans="25:27" ht="14.25" customHeight="1">
      <c r="Y104" s="165"/>
      <c r="Z104" s="41"/>
      <c r="AA104" s="41"/>
    </row>
    <row r="105" spans="25:27" ht="14.25" customHeight="1">
      <c r="Y105" s="165"/>
      <c r="Z105" s="41"/>
      <c r="AA105" s="41"/>
    </row>
    <row r="106" spans="25:27" ht="14.25" customHeight="1">
      <c r="Y106" s="165"/>
      <c r="Z106" s="41"/>
      <c r="AA106" s="41"/>
    </row>
    <row r="107" spans="25:27" ht="15" customHeight="1" thickBot="1">
      <c r="Y107" s="166"/>
      <c r="Z107" s="41"/>
      <c r="AA107" s="41"/>
    </row>
  </sheetData>
  <sheetProtection/>
  <mergeCells count="419">
    <mergeCell ref="M38:M39"/>
    <mergeCell ref="N38:N39"/>
    <mergeCell ref="C40:C41"/>
    <mergeCell ref="F40:F41"/>
    <mergeCell ref="F42:F43"/>
    <mergeCell ref="G42:G43"/>
    <mergeCell ref="H42:H43"/>
    <mergeCell ref="I42:I43"/>
    <mergeCell ref="L42:L43"/>
    <mergeCell ref="M42:M43"/>
    <mergeCell ref="N42:N43"/>
    <mergeCell ref="A32:A43"/>
    <mergeCell ref="B32:B43"/>
    <mergeCell ref="K40:K41"/>
    <mergeCell ref="L40:L41"/>
    <mergeCell ref="M40:M41"/>
    <mergeCell ref="N40:N41"/>
    <mergeCell ref="C42:C43"/>
    <mergeCell ref="F34:F35"/>
    <mergeCell ref="G34:G35"/>
    <mergeCell ref="H40:H41"/>
    <mergeCell ref="I34:I35"/>
    <mergeCell ref="M36:M37"/>
    <mergeCell ref="N36:N37"/>
    <mergeCell ref="C38:C39"/>
    <mergeCell ref="F38:F39"/>
    <mergeCell ref="G38:G39"/>
    <mergeCell ref="H38:H39"/>
    <mergeCell ref="I38:I39"/>
    <mergeCell ref="J38:J39"/>
    <mergeCell ref="K38:K39"/>
    <mergeCell ref="L38:L39"/>
    <mergeCell ref="G40:G41"/>
    <mergeCell ref="N59:N60"/>
    <mergeCell ref="N34:N35"/>
    <mergeCell ref="C36:C37"/>
    <mergeCell ref="F36:F37"/>
    <mergeCell ref="G36:G37"/>
    <mergeCell ref="H36:H37"/>
    <mergeCell ref="I36:I37"/>
    <mergeCell ref="J36:J37"/>
    <mergeCell ref="I40:I41"/>
    <mergeCell ref="M46:M47"/>
    <mergeCell ref="N46:N47"/>
    <mergeCell ref="N48:N49"/>
    <mergeCell ref="C50:C51"/>
    <mergeCell ref="D50:D51"/>
    <mergeCell ref="K50:K51"/>
    <mergeCell ref="L50:L51"/>
    <mergeCell ref="M50:M51"/>
    <mergeCell ref="E50:E51"/>
    <mergeCell ref="F50:F51"/>
    <mergeCell ref="N57:N58"/>
    <mergeCell ref="C59:C60"/>
    <mergeCell ref="F59:F60"/>
    <mergeCell ref="G59:G60"/>
    <mergeCell ref="H59:H60"/>
    <mergeCell ref="M44:M45"/>
    <mergeCell ref="N44:N45"/>
    <mergeCell ref="C46:C47"/>
    <mergeCell ref="D46:D47"/>
    <mergeCell ref="E46:E47"/>
    <mergeCell ref="F46:F47"/>
    <mergeCell ref="G46:G47"/>
    <mergeCell ref="H46:H47"/>
    <mergeCell ref="I46:I47"/>
    <mergeCell ref="J46:J47"/>
    <mergeCell ref="N61:N62"/>
    <mergeCell ref="C57:C58"/>
    <mergeCell ref="F57:F58"/>
    <mergeCell ref="G57:G58"/>
    <mergeCell ref="H57:H58"/>
    <mergeCell ref="I57:I58"/>
    <mergeCell ref="J57:J58"/>
    <mergeCell ref="K57:K58"/>
    <mergeCell ref="F61:F62"/>
    <mergeCell ref="G61:G62"/>
    <mergeCell ref="K61:K62"/>
    <mergeCell ref="L59:L60"/>
    <mergeCell ref="M59:M60"/>
    <mergeCell ref="C32:C33"/>
    <mergeCell ref="F32:F33"/>
    <mergeCell ref="G32:G33"/>
    <mergeCell ref="H32:H33"/>
    <mergeCell ref="I32:I33"/>
    <mergeCell ref="J32:J33"/>
    <mergeCell ref="L44:L45"/>
    <mergeCell ref="M55:M56"/>
    <mergeCell ref="L61:L62"/>
    <mergeCell ref="M61:M62"/>
    <mergeCell ref="I59:I60"/>
    <mergeCell ref="J59:J60"/>
    <mergeCell ref="K59:K60"/>
    <mergeCell ref="L57:L58"/>
    <mergeCell ref="M57:M58"/>
    <mergeCell ref="I61:I62"/>
    <mergeCell ref="J61:J62"/>
    <mergeCell ref="I30:I31"/>
    <mergeCell ref="J30:J31"/>
    <mergeCell ref="H65:H66"/>
    <mergeCell ref="I65:I66"/>
    <mergeCell ref="J65:J66"/>
    <mergeCell ref="H61:H62"/>
    <mergeCell ref="H34:H35"/>
    <mergeCell ref="J34:J35"/>
    <mergeCell ref="J40:J41"/>
    <mergeCell ref="J42:J43"/>
    <mergeCell ref="M30:M31"/>
    <mergeCell ref="N30:N31"/>
    <mergeCell ref="C61:C62"/>
    <mergeCell ref="B65:C66"/>
    <mergeCell ref="F65:F66"/>
    <mergeCell ref="G65:G66"/>
    <mergeCell ref="B30:C31"/>
    <mergeCell ref="F30:F31"/>
    <mergeCell ref="G30:G31"/>
    <mergeCell ref="H30:H31"/>
    <mergeCell ref="J55:J56"/>
    <mergeCell ref="K55:K56"/>
    <mergeCell ref="L55:L56"/>
    <mergeCell ref="K30:K31"/>
    <mergeCell ref="L30:L31"/>
    <mergeCell ref="K46:K47"/>
    <mergeCell ref="L46:L47"/>
    <mergeCell ref="K36:K37"/>
    <mergeCell ref="L36:L37"/>
    <mergeCell ref="K42:K43"/>
    <mergeCell ref="N65:N66"/>
    <mergeCell ref="B64:C64"/>
    <mergeCell ref="B67:C67"/>
    <mergeCell ref="B80:C80"/>
    <mergeCell ref="B68:C68"/>
    <mergeCell ref="L65:L66"/>
    <mergeCell ref="M65:M66"/>
    <mergeCell ref="K65:K66"/>
    <mergeCell ref="L32:L33"/>
    <mergeCell ref="M32:M33"/>
    <mergeCell ref="N32:N33"/>
    <mergeCell ref="K34:K35"/>
    <mergeCell ref="L34:L35"/>
    <mergeCell ref="M34:M35"/>
    <mergeCell ref="F55:F56"/>
    <mergeCell ref="G55:G56"/>
    <mergeCell ref="H55:H56"/>
    <mergeCell ref="I55:I56"/>
    <mergeCell ref="H27:H28"/>
    <mergeCell ref="N55:N56"/>
    <mergeCell ref="L12:L13"/>
    <mergeCell ref="M12:M13"/>
    <mergeCell ref="N12:N13"/>
    <mergeCell ref="H12:H13"/>
    <mergeCell ref="I12:I13"/>
    <mergeCell ref="J12:J13"/>
    <mergeCell ref="K12:K13"/>
    <mergeCell ref="K32:K33"/>
    <mergeCell ref="F25:F26"/>
    <mergeCell ref="G25:G26"/>
    <mergeCell ref="F27:F28"/>
    <mergeCell ref="G27:G28"/>
    <mergeCell ref="I27:I28"/>
    <mergeCell ref="J27:J28"/>
    <mergeCell ref="K27:K28"/>
    <mergeCell ref="I25:I26"/>
    <mergeCell ref="J25:J26"/>
    <mergeCell ref="K25:K26"/>
    <mergeCell ref="L25:L26"/>
    <mergeCell ref="M25:M26"/>
    <mergeCell ref="N25:N26"/>
    <mergeCell ref="L27:L28"/>
    <mergeCell ref="M27:M28"/>
    <mergeCell ref="N27:N28"/>
    <mergeCell ref="A12:A13"/>
    <mergeCell ref="B63:C63"/>
    <mergeCell ref="B82:C82"/>
    <mergeCell ref="B12:C13"/>
    <mergeCell ref="A65:A66"/>
    <mergeCell ref="C55:C56"/>
    <mergeCell ref="B55:B62"/>
    <mergeCell ref="C34:C35"/>
    <mergeCell ref="L23:L24"/>
    <mergeCell ref="M23:M24"/>
    <mergeCell ref="N23:N24"/>
    <mergeCell ref="I19:I20"/>
    <mergeCell ref="J19:J20"/>
    <mergeCell ref="K19:K20"/>
    <mergeCell ref="M19:M20"/>
    <mergeCell ref="N19:N20"/>
    <mergeCell ref="L21:L22"/>
    <mergeCell ref="M21:M22"/>
    <mergeCell ref="N21:N22"/>
    <mergeCell ref="M17:M18"/>
    <mergeCell ref="N17:N18"/>
    <mergeCell ref="L19:L20"/>
    <mergeCell ref="I23:I24"/>
    <mergeCell ref="J23:J24"/>
    <mergeCell ref="K23:K24"/>
    <mergeCell ref="I21:I22"/>
    <mergeCell ref="J21:J22"/>
    <mergeCell ref="K21:K22"/>
    <mergeCell ref="I17:I18"/>
    <mergeCell ref="C25:C26"/>
    <mergeCell ref="C27:C28"/>
    <mergeCell ref="H25:H26"/>
    <mergeCell ref="L15:L16"/>
    <mergeCell ref="L17:L18"/>
    <mergeCell ref="I15:I16"/>
    <mergeCell ref="J15:J16"/>
    <mergeCell ref="K15:K16"/>
    <mergeCell ref="J17:J18"/>
    <mergeCell ref="K17:K18"/>
    <mergeCell ref="C23:C24"/>
    <mergeCell ref="H19:H20"/>
    <mergeCell ref="F21:F22"/>
    <mergeCell ref="G21:G22"/>
    <mergeCell ref="H21:H22"/>
    <mergeCell ref="F23:F24"/>
    <mergeCell ref="G23:G24"/>
    <mergeCell ref="H23:H24"/>
    <mergeCell ref="C15:C16"/>
    <mergeCell ref="C17:C18"/>
    <mergeCell ref="C19:C20"/>
    <mergeCell ref="C21:C22"/>
    <mergeCell ref="N6:N7"/>
    <mergeCell ref="F8:F9"/>
    <mergeCell ref="G8:G9"/>
    <mergeCell ref="F15:F16"/>
    <mergeCell ref="G15:G16"/>
    <mergeCell ref="H15:H16"/>
    <mergeCell ref="M15:M16"/>
    <mergeCell ref="N15:N16"/>
    <mergeCell ref="F12:F13"/>
    <mergeCell ref="G12:G13"/>
    <mergeCell ref="J6:J7"/>
    <mergeCell ref="K6:K7"/>
    <mergeCell ref="L6:L7"/>
    <mergeCell ref="M6:M7"/>
    <mergeCell ref="H10:H11"/>
    <mergeCell ref="I10:I11"/>
    <mergeCell ref="J10:J11"/>
    <mergeCell ref="K10:K11"/>
    <mergeCell ref="L10:L11"/>
    <mergeCell ref="M10:M11"/>
    <mergeCell ref="N10:N11"/>
    <mergeCell ref="C8:C9"/>
    <mergeCell ref="C10:C11"/>
    <mergeCell ref="K8:K9"/>
    <mergeCell ref="L8:L9"/>
    <mergeCell ref="M8:M9"/>
    <mergeCell ref="N8:N9"/>
    <mergeCell ref="F10:F11"/>
    <mergeCell ref="A2:A5"/>
    <mergeCell ref="C6:C7"/>
    <mergeCell ref="F6:F7"/>
    <mergeCell ref="G6:G7"/>
    <mergeCell ref="F4:F5"/>
    <mergeCell ref="G4:G5"/>
    <mergeCell ref="A6:A11"/>
    <mergeCell ref="B6:B11"/>
    <mergeCell ref="G10:G11"/>
    <mergeCell ref="H8:H9"/>
    <mergeCell ref="I8:I9"/>
    <mergeCell ref="J8:J9"/>
    <mergeCell ref="L4:L5"/>
    <mergeCell ref="H6:H7"/>
    <mergeCell ref="I6:I7"/>
    <mergeCell ref="H4:H5"/>
    <mergeCell ref="I4:I5"/>
    <mergeCell ref="J4:J5"/>
    <mergeCell ref="K4:K5"/>
    <mergeCell ref="W3:X3"/>
    <mergeCell ref="Y3:Z3"/>
    <mergeCell ref="L3:N3"/>
    <mergeCell ref="A1:Z1"/>
    <mergeCell ref="I3:K3"/>
    <mergeCell ref="D2:N2"/>
    <mergeCell ref="O2:Z2"/>
    <mergeCell ref="B2:C5"/>
    <mergeCell ref="M4:M5"/>
    <mergeCell ref="N4:N5"/>
    <mergeCell ref="O3:P3"/>
    <mergeCell ref="Q3:R3"/>
    <mergeCell ref="S3:T3"/>
    <mergeCell ref="U3:V3"/>
    <mergeCell ref="AA2:AA5"/>
    <mergeCell ref="AA32:AA43"/>
    <mergeCell ref="B81:C81"/>
    <mergeCell ref="C69:C70"/>
    <mergeCell ref="F69:F70"/>
    <mergeCell ref="G69:G70"/>
    <mergeCell ref="H69:H70"/>
    <mergeCell ref="I69:I70"/>
    <mergeCell ref="J69:J70"/>
    <mergeCell ref="K69:K70"/>
    <mergeCell ref="N73:N74"/>
    <mergeCell ref="A87:Y87"/>
    <mergeCell ref="Y102:Y107"/>
    <mergeCell ref="D3:D4"/>
    <mergeCell ref="E3:E4"/>
    <mergeCell ref="F3:H3"/>
    <mergeCell ref="L69:L70"/>
    <mergeCell ref="M69:M70"/>
    <mergeCell ref="N69:N70"/>
    <mergeCell ref="C71:C72"/>
    <mergeCell ref="N71:N72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M77:M78"/>
    <mergeCell ref="N77:N78"/>
    <mergeCell ref="C75:C76"/>
    <mergeCell ref="D75:D76"/>
    <mergeCell ref="E75:E76"/>
    <mergeCell ref="F75:F76"/>
    <mergeCell ref="G75:G76"/>
    <mergeCell ref="H75:H76"/>
    <mergeCell ref="I75:I76"/>
    <mergeCell ref="J75:J76"/>
    <mergeCell ref="N75:N76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E52:E53"/>
    <mergeCell ref="F52:F53"/>
    <mergeCell ref="L75:L76"/>
    <mergeCell ref="M75:M76"/>
    <mergeCell ref="K75:K76"/>
    <mergeCell ref="K71:K72"/>
    <mergeCell ref="L71:L72"/>
    <mergeCell ref="M71:M72"/>
    <mergeCell ref="L73:L74"/>
    <mergeCell ref="M73:M74"/>
    <mergeCell ref="I44:I45"/>
    <mergeCell ref="C48:C49"/>
    <mergeCell ref="D48:D49"/>
    <mergeCell ref="E48:E49"/>
    <mergeCell ref="F48:F49"/>
    <mergeCell ref="G48:G49"/>
    <mergeCell ref="H48:H49"/>
    <mergeCell ref="I48:I49"/>
    <mergeCell ref="J44:J45"/>
    <mergeCell ref="K44:K45"/>
    <mergeCell ref="B69:B78"/>
    <mergeCell ref="A69:A78"/>
    <mergeCell ref="A44:A53"/>
    <mergeCell ref="B44:B53"/>
    <mergeCell ref="C44:C45"/>
    <mergeCell ref="F44:F45"/>
    <mergeCell ref="G44:G45"/>
    <mergeCell ref="H44:H45"/>
    <mergeCell ref="AA52:AA53"/>
    <mergeCell ref="J48:J49"/>
    <mergeCell ref="K48:K49"/>
    <mergeCell ref="L48:L49"/>
    <mergeCell ref="M48:M49"/>
    <mergeCell ref="N50:N51"/>
    <mergeCell ref="AA44:AA45"/>
    <mergeCell ref="AA46:AA47"/>
    <mergeCell ref="AA48:AA49"/>
    <mergeCell ref="AA50:AA51"/>
    <mergeCell ref="B54:C54"/>
    <mergeCell ref="M83:M84"/>
    <mergeCell ref="N83:N84"/>
    <mergeCell ref="J52:J53"/>
    <mergeCell ref="K52:K53"/>
    <mergeCell ref="L52:L53"/>
    <mergeCell ref="M52:M53"/>
    <mergeCell ref="N52:N53"/>
    <mergeCell ref="C52:C53"/>
    <mergeCell ref="D52:D53"/>
    <mergeCell ref="A15:A29"/>
    <mergeCell ref="B14:C14"/>
    <mergeCell ref="AA12:AA13"/>
    <mergeCell ref="A30:A31"/>
    <mergeCell ref="F17:F18"/>
    <mergeCell ref="G17:G18"/>
    <mergeCell ref="H17:H18"/>
    <mergeCell ref="F19:F20"/>
    <mergeCell ref="G19:G20"/>
    <mergeCell ref="B15:B29"/>
    <mergeCell ref="J71:J72"/>
    <mergeCell ref="A55:A62"/>
    <mergeCell ref="L83:L84"/>
    <mergeCell ref="I83:I84"/>
    <mergeCell ref="J83:J84"/>
    <mergeCell ref="K83:K84"/>
    <mergeCell ref="L77:L78"/>
    <mergeCell ref="D71:D72"/>
    <mergeCell ref="E71:E72"/>
    <mergeCell ref="F71:F72"/>
    <mergeCell ref="G52:G53"/>
    <mergeCell ref="H52:H53"/>
    <mergeCell ref="I52:I53"/>
    <mergeCell ref="I71:I72"/>
    <mergeCell ref="G71:G72"/>
    <mergeCell ref="H71:H72"/>
    <mergeCell ref="A83:A84"/>
    <mergeCell ref="F83:F84"/>
    <mergeCell ref="G83:G84"/>
    <mergeCell ref="H83:H84"/>
    <mergeCell ref="B85:C85"/>
    <mergeCell ref="B86:C86"/>
    <mergeCell ref="B79:C79"/>
    <mergeCell ref="B83:C84"/>
    <mergeCell ref="G50:G51"/>
    <mergeCell ref="H50:H51"/>
    <mergeCell ref="I50:I51"/>
    <mergeCell ref="J50:J51"/>
  </mergeCells>
  <printOptions/>
  <pageMargins left="0.5511811023622047" right="0.4724409448818898" top="0.7480314960629921" bottom="0.7480314960629921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72"/>
  <sheetViews>
    <sheetView zoomScale="90" zoomScaleNormal="90" zoomScalePageLayoutView="0"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49" sqref="L49:Q49"/>
    </sheetView>
  </sheetViews>
  <sheetFormatPr defaultColWidth="9.28125" defaultRowHeight="12"/>
  <cols>
    <col min="1" max="2" width="3.00390625" style="1" customWidth="1"/>
    <col min="3" max="3" width="10.7109375" style="77" customWidth="1"/>
    <col min="4" max="4" width="7.7109375" style="3" hidden="1" customWidth="1"/>
    <col min="5" max="5" width="8.8515625" style="34" hidden="1" customWidth="1"/>
    <col min="6" max="11" width="7.57421875" style="2" customWidth="1"/>
    <col min="12" max="17" width="7.57421875" style="84" customWidth="1"/>
    <col min="18" max="23" width="7.57421875" style="75" customWidth="1"/>
    <col min="24" max="16384" width="9.28125" style="1" customWidth="1"/>
  </cols>
  <sheetData>
    <row r="1" spans="1:23" s="4" customFormat="1" ht="26.25" customHeight="1">
      <c r="A1" s="158" t="s">
        <v>295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1:23" s="10" customFormat="1" ht="21.75" customHeight="1">
      <c r="A2" s="153" t="s">
        <v>0</v>
      </c>
      <c r="B2" s="55" t="s">
        <v>21</v>
      </c>
      <c r="C2" s="55"/>
      <c r="D2" s="138" t="s">
        <v>207</v>
      </c>
      <c r="E2" s="138"/>
      <c r="F2" s="138"/>
      <c r="G2" s="138"/>
      <c r="H2" s="138"/>
      <c r="I2" s="138"/>
      <c r="J2" s="138"/>
      <c r="K2" s="138"/>
      <c r="L2" s="50" t="s">
        <v>209</v>
      </c>
      <c r="M2" s="50"/>
      <c r="N2" s="50"/>
      <c r="O2" s="50"/>
      <c r="P2" s="50"/>
      <c r="Q2" s="50"/>
      <c r="R2" s="54" t="s">
        <v>208</v>
      </c>
      <c r="S2" s="54"/>
      <c r="T2" s="54"/>
      <c r="U2" s="54"/>
      <c r="V2" s="54"/>
      <c r="W2" s="54"/>
    </row>
    <row r="3" spans="1:23" s="10" customFormat="1" ht="19.5" customHeight="1">
      <c r="A3" s="153"/>
      <c r="B3" s="55"/>
      <c r="C3" s="55"/>
      <c r="D3" s="128" t="s">
        <v>13</v>
      </c>
      <c r="E3" s="124" t="s">
        <v>14</v>
      </c>
      <c r="F3" s="138" t="s">
        <v>19</v>
      </c>
      <c r="G3" s="138"/>
      <c r="H3" s="138"/>
      <c r="I3" s="138"/>
      <c r="J3" s="138"/>
      <c r="K3" s="138"/>
      <c r="L3" s="50" t="s">
        <v>19</v>
      </c>
      <c r="M3" s="50"/>
      <c r="N3" s="50"/>
      <c r="O3" s="50"/>
      <c r="P3" s="50"/>
      <c r="Q3" s="50"/>
      <c r="R3" s="54" t="s">
        <v>19</v>
      </c>
      <c r="S3" s="54"/>
      <c r="T3" s="54"/>
      <c r="U3" s="54"/>
      <c r="V3" s="54"/>
      <c r="W3" s="54"/>
    </row>
    <row r="4" spans="1:23" s="13" customFormat="1" ht="27.75" customHeight="1">
      <c r="A4" s="153"/>
      <c r="B4" s="55"/>
      <c r="C4" s="55"/>
      <c r="D4" s="128"/>
      <c r="E4" s="124"/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80" t="s">
        <v>6</v>
      </c>
      <c r="M4" s="80" t="s">
        <v>7</v>
      </c>
      <c r="N4" s="80" t="s">
        <v>8</v>
      </c>
      <c r="O4" s="80" t="s">
        <v>9</v>
      </c>
      <c r="P4" s="80" t="s">
        <v>10</v>
      </c>
      <c r="Q4" s="80" t="s">
        <v>11</v>
      </c>
      <c r="R4" s="74" t="s">
        <v>6</v>
      </c>
      <c r="S4" s="74" t="s">
        <v>7</v>
      </c>
      <c r="T4" s="74" t="s">
        <v>8</v>
      </c>
      <c r="U4" s="74" t="s">
        <v>9</v>
      </c>
      <c r="V4" s="74" t="s">
        <v>10</v>
      </c>
      <c r="W4" s="74" t="s">
        <v>11</v>
      </c>
    </row>
    <row r="5" spans="1:23" s="13" customFormat="1" ht="59.25" customHeight="1">
      <c r="A5" s="153">
        <v>1</v>
      </c>
      <c r="B5" s="153" t="s">
        <v>92</v>
      </c>
      <c r="C5" s="76" t="s">
        <v>24</v>
      </c>
      <c r="D5" s="7" t="s">
        <v>25</v>
      </c>
      <c r="E5" s="36">
        <v>39264</v>
      </c>
      <c r="F5" s="38">
        <v>0.69</v>
      </c>
      <c r="G5" s="38">
        <v>0.72</v>
      </c>
      <c r="H5" s="38">
        <v>0.69</v>
      </c>
      <c r="I5" s="38">
        <v>0.9</v>
      </c>
      <c r="J5" s="38">
        <v>0.69</v>
      </c>
      <c r="K5" s="38">
        <v>0.69</v>
      </c>
      <c r="L5" s="81">
        <f aca="true" t="shared" si="0" ref="L5:Q8">R5-F5</f>
        <v>0.15000000000000002</v>
      </c>
      <c r="M5" s="81">
        <f t="shared" si="0"/>
        <v>0.15000000000000002</v>
      </c>
      <c r="N5" s="81">
        <f t="shared" si="0"/>
        <v>0.15000000000000002</v>
      </c>
      <c r="O5" s="81">
        <f t="shared" si="0"/>
        <v>0.2499999999999999</v>
      </c>
      <c r="P5" s="81">
        <f t="shared" si="0"/>
        <v>0.15000000000000002</v>
      </c>
      <c r="Q5" s="81">
        <f t="shared" si="0"/>
        <v>0.15000000000000002</v>
      </c>
      <c r="R5" s="78">
        <v>0.84</v>
      </c>
      <c r="S5" s="78">
        <v>0.87</v>
      </c>
      <c r="T5" s="78">
        <v>0.84</v>
      </c>
      <c r="U5" s="78">
        <v>1.15</v>
      </c>
      <c r="V5" s="78">
        <v>0.84</v>
      </c>
      <c r="W5" s="78">
        <v>0.84</v>
      </c>
    </row>
    <row r="6" spans="1:23" s="13" customFormat="1" ht="56.25" customHeight="1">
      <c r="A6" s="153"/>
      <c r="B6" s="153"/>
      <c r="C6" s="76" t="s">
        <v>26</v>
      </c>
      <c r="D6" s="7" t="s">
        <v>25</v>
      </c>
      <c r="E6" s="36">
        <v>39264</v>
      </c>
      <c r="F6" s="38">
        <v>0.64</v>
      </c>
      <c r="G6" s="38">
        <v>0.67</v>
      </c>
      <c r="H6" s="38">
        <v>0.64</v>
      </c>
      <c r="I6" s="38">
        <v>0.84</v>
      </c>
      <c r="J6" s="38">
        <v>0.64</v>
      </c>
      <c r="K6" s="38">
        <v>0.64</v>
      </c>
      <c r="L6" s="81">
        <f t="shared" si="0"/>
        <v>0.13</v>
      </c>
      <c r="M6" s="81">
        <f t="shared" si="0"/>
        <v>0.13</v>
      </c>
      <c r="N6" s="81">
        <f t="shared" si="0"/>
        <v>0.13</v>
      </c>
      <c r="O6" s="81">
        <f t="shared" si="0"/>
        <v>0.22000000000000008</v>
      </c>
      <c r="P6" s="81">
        <f t="shared" si="0"/>
        <v>0.13</v>
      </c>
      <c r="Q6" s="81">
        <f t="shared" si="0"/>
        <v>0.13</v>
      </c>
      <c r="R6" s="78">
        <v>0.77</v>
      </c>
      <c r="S6" s="78">
        <v>0.8</v>
      </c>
      <c r="T6" s="78">
        <v>0.77</v>
      </c>
      <c r="U6" s="78">
        <v>1.06</v>
      </c>
      <c r="V6" s="78">
        <v>0.77</v>
      </c>
      <c r="W6" s="78">
        <v>0.77</v>
      </c>
    </row>
    <row r="7" spans="1:23" s="13" customFormat="1" ht="36" customHeight="1">
      <c r="A7" s="153"/>
      <c r="B7" s="153"/>
      <c r="C7" s="76" t="s">
        <v>27</v>
      </c>
      <c r="D7" s="7" t="s">
        <v>25</v>
      </c>
      <c r="E7" s="36">
        <v>39264</v>
      </c>
      <c r="F7" s="38">
        <v>0.57</v>
      </c>
      <c r="G7" s="38">
        <v>0.59</v>
      </c>
      <c r="H7" s="38">
        <v>0.57</v>
      </c>
      <c r="I7" s="38">
        <v>0.74</v>
      </c>
      <c r="J7" s="38">
        <v>0.57</v>
      </c>
      <c r="K7" s="38">
        <v>0.57</v>
      </c>
      <c r="L7" s="81">
        <f t="shared" si="0"/>
        <v>0.12</v>
      </c>
      <c r="M7" s="81">
        <f t="shared" si="0"/>
        <v>0.12</v>
      </c>
      <c r="N7" s="81">
        <f t="shared" si="0"/>
        <v>0.12</v>
      </c>
      <c r="O7" s="81">
        <f t="shared" si="0"/>
        <v>0.19999999999999996</v>
      </c>
      <c r="P7" s="81">
        <f t="shared" si="0"/>
        <v>0.12</v>
      </c>
      <c r="Q7" s="81">
        <f t="shared" si="0"/>
        <v>0.12</v>
      </c>
      <c r="R7" s="78">
        <v>0.69</v>
      </c>
      <c r="S7" s="78">
        <v>0.71</v>
      </c>
      <c r="T7" s="78">
        <v>0.69</v>
      </c>
      <c r="U7" s="78">
        <v>0.94</v>
      </c>
      <c r="V7" s="78">
        <v>0.69</v>
      </c>
      <c r="W7" s="78">
        <v>0.69</v>
      </c>
    </row>
    <row r="8" spans="1:23" s="13" customFormat="1" ht="22.5" customHeight="1">
      <c r="A8" s="7">
        <v>2</v>
      </c>
      <c r="B8" s="55" t="s">
        <v>201</v>
      </c>
      <c r="C8" s="55"/>
      <c r="D8" s="7" t="s">
        <v>39</v>
      </c>
      <c r="E8" s="36">
        <v>39448</v>
      </c>
      <c r="F8" s="38">
        <v>0.65</v>
      </c>
      <c r="G8" s="38">
        <v>0.404</v>
      </c>
      <c r="H8" s="38">
        <v>0.65</v>
      </c>
      <c r="I8" s="38">
        <v>0.584</v>
      </c>
      <c r="J8" s="38">
        <v>0.65</v>
      </c>
      <c r="K8" s="38">
        <v>0.65</v>
      </c>
      <c r="L8" s="81">
        <f t="shared" si="0"/>
        <v>0.5847999999999999</v>
      </c>
      <c r="M8" s="81">
        <f t="shared" si="0"/>
        <v>0.5123</v>
      </c>
      <c r="N8" s="81">
        <f t="shared" si="0"/>
        <v>0.5847999999999999</v>
      </c>
      <c r="O8" s="81">
        <f t="shared" si="0"/>
        <v>0.541</v>
      </c>
      <c r="P8" s="81">
        <f t="shared" si="0"/>
        <v>0.5847999999999999</v>
      </c>
      <c r="Q8" s="81">
        <f t="shared" si="0"/>
        <v>0.5847999999999999</v>
      </c>
      <c r="R8" s="78">
        <v>1.2348</v>
      </c>
      <c r="S8" s="78">
        <v>0.9163</v>
      </c>
      <c r="T8" s="78">
        <v>1.2348</v>
      </c>
      <c r="U8" s="78">
        <v>1.125</v>
      </c>
      <c r="V8" s="78">
        <v>1.2348</v>
      </c>
      <c r="W8" s="78">
        <v>1.2348</v>
      </c>
    </row>
    <row r="9" spans="1:23" s="13" customFormat="1" ht="22.5" customHeight="1">
      <c r="A9" s="7">
        <v>3</v>
      </c>
      <c r="B9" s="153" t="s">
        <v>100</v>
      </c>
      <c r="C9" s="153"/>
      <c r="D9" s="7"/>
      <c r="E9" s="36"/>
      <c r="F9" s="11">
        <f aca="true" t="shared" si="1" ref="F9:K9">R9-L9</f>
        <v>0.4575</v>
      </c>
      <c r="G9" s="11">
        <f t="shared" si="1"/>
        <v>0.48529999999999995</v>
      </c>
      <c r="H9" s="11">
        <f t="shared" si="1"/>
        <v>0.4575</v>
      </c>
      <c r="I9" s="11">
        <f t="shared" si="1"/>
        <v>0.5557</v>
      </c>
      <c r="J9" s="11">
        <f t="shared" si="1"/>
        <v>0.4575</v>
      </c>
      <c r="K9" s="11">
        <f t="shared" si="1"/>
        <v>0.4575</v>
      </c>
      <c r="L9" s="81">
        <v>0.2438</v>
      </c>
      <c r="M9" s="81">
        <v>0.0412</v>
      </c>
      <c r="N9" s="81">
        <v>0.2438</v>
      </c>
      <c r="O9" s="81">
        <v>0.0734</v>
      </c>
      <c r="P9" s="81">
        <v>0.2438</v>
      </c>
      <c r="Q9" s="81">
        <v>0.2438</v>
      </c>
      <c r="R9" s="38">
        <v>0.7013</v>
      </c>
      <c r="S9" s="38">
        <v>0.5265</v>
      </c>
      <c r="T9" s="38">
        <v>0.7013</v>
      </c>
      <c r="U9" s="38">
        <v>0.6291</v>
      </c>
      <c r="V9" s="38">
        <v>0.7013</v>
      </c>
      <c r="W9" s="38">
        <v>0.7013</v>
      </c>
    </row>
    <row r="10" spans="1:23" s="13" customFormat="1" ht="22.5" customHeight="1">
      <c r="A10" s="153">
        <v>4</v>
      </c>
      <c r="B10" s="153" t="s">
        <v>255</v>
      </c>
      <c r="C10" s="76" t="s">
        <v>227</v>
      </c>
      <c r="D10" s="7" t="s">
        <v>30</v>
      </c>
      <c r="E10" s="36">
        <v>39448</v>
      </c>
      <c r="F10" s="38">
        <v>0.4523</v>
      </c>
      <c r="G10" s="38">
        <v>0.4863</v>
      </c>
      <c r="H10" s="38">
        <v>0.3762</v>
      </c>
      <c r="I10" s="38">
        <v>0.514</v>
      </c>
      <c r="J10" s="38">
        <v>0.4463</v>
      </c>
      <c r="K10" s="38">
        <v>0.361</v>
      </c>
      <c r="L10" s="81">
        <f aca="true" t="shared" si="2" ref="L10:Q10">R10-F10</f>
        <v>0.1357</v>
      </c>
      <c r="M10" s="81">
        <f t="shared" si="2"/>
        <v>0.12159999999999999</v>
      </c>
      <c r="N10" s="81">
        <f t="shared" si="2"/>
        <v>0.1129</v>
      </c>
      <c r="O10" s="81">
        <f t="shared" si="2"/>
        <v>0.1028</v>
      </c>
      <c r="P10" s="81">
        <f t="shared" si="2"/>
        <v>0.1347</v>
      </c>
      <c r="Q10" s="81">
        <f t="shared" si="2"/>
        <v>0.10830000000000001</v>
      </c>
      <c r="R10" s="78">
        <v>0.588</v>
      </c>
      <c r="S10" s="78">
        <v>0.6079</v>
      </c>
      <c r="T10" s="78">
        <v>0.4891</v>
      </c>
      <c r="U10" s="78">
        <v>0.6168</v>
      </c>
      <c r="V10" s="78">
        <v>0.581</v>
      </c>
      <c r="W10" s="78">
        <v>0.4693</v>
      </c>
    </row>
    <row r="11" spans="1:23" s="13" customFormat="1" ht="22.5" customHeight="1">
      <c r="A11" s="153"/>
      <c r="B11" s="153"/>
      <c r="C11" s="76" t="s">
        <v>228</v>
      </c>
      <c r="D11" s="7"/>
      <c r="E11" s="36"/>
      <c r="F11" s="38">
        <v>0.4152</v>
      </c>
      <c r="G11" s="38">
        <v>0.4418</v>
      </c>
      <c r="H11" s="38">
        <v>0.3369</v>
      </c>
      <c r="I11" s="38">
        <v>0.4648</v>
      </c>
      <c r="J11" s="38">
        <v>0.3825</v>
      </c>
      <c r="K11" s="38">
        <v>0.3286</v>
      </c>
      <c r="L11" s="81">
        <f aca="true" t="shared" si="3" ref="L11:L16">R11-F11</f>
        <v>0.13459999999999994</v>
      </c>
      <c r="M11" s="81">
        <f aca="true" t="shared" si="4" ref="M11:M16">S11-G11</f>
        <v>0.10159999999999997</v>
      </c>
      <c r="N11" s="81">
        <f aca="true" t="shared" si="5" ref="N11:N16">T11-H11</f>
        <v>0.10110000000000002</v>
      </c>
      <c r="O11" s="81">
        <f aca="true" t="shared" si="6" ref="O11:O16">U11-I11</f>
        <v>0.09320000000000006</v>
      </c>
      <c r="P11" s="81">
        <f aca="true" t="shared" si="7" ref="P11:P16">V11-J11</f>
        <v>0.11480000000000001</v>
      </c>
      <c r="Q11" s="81">
        <f aca="true" t="shared" si="8" ref="Q11:Q16">W11-K11</f>
        <v>0.09820000000000001</v>
      </c>
      <c r="R11" s="78">
        <v>0.5498</v>
      </c>
      <c r="S11" s="78">
        <v>0.5434</v>
      </c>
      <c r="T11" s="78">
        <v>0.438</v>
      </c>
      <c r="U11" s="78">
        <v>0.558</v>
      </c>
      <c r="V11" s="78">
        <v>0.4973</v>
      </c>
      <c r="W11" s="78">
        <v>0.4268</v>
      </c>
    </row>
    <row r="12" spans="1:23" s="13" customFormat="1" ht="22.5" customHeight="1">
      <c r="A12" s="153"/>
      <c r="B12" s="153"/>
      <c r="C12" s="76" t="s">
        <v>229</v>
      </c>
      <c r="D12" s="7"/>
      <c r="E12" s="36"/>
      <c r="F12" s="38">
        <v>0.3493</v>
      </c>
      <c r="G12" s="38">
        <v>0.201</v>
      </c>
      <c r="H12" s="38">
        <v>0.3375</v>
      </c>
      <c r="I12" s="38">
        <v>0.3704</v>
      </c>
      <c r="J12" s="38">
        <v>0.2896</v>
      </c>
      <c r="K12" s="38">
        <v>0.2758</v>
      </c>
      <c r="L12" s="81">
        <f t="shared" si="3"/>
        <v>0.1013</v>
      </c>
      <c r="M12" s="81">
        <f t="shared" si="4"/>
        <v>0.12059999999999998</v>
      </c>
      <c r="N12" s="81">
        <f t="shared" si="5"/>
        <v>0.1013</v>
      </c>
      <c r="O12" s="81">
        <f t="shared" si="6"/>
        <v>0.09260000000000002</v>
      </c>
      <c r="P12" s="81">
        <f t="shared" si="7"/>
        <v>0.08689999999999998</v>
      </c>
      <c r="Q12" s="81">
        <f t="shared" si="8"/>
        <v>0.0827</v>
      </c>
      <c r="R12" s="78">
        <v>0.4506</v>
      </c>
      <c r="S12" s="78">
        <v>0.3216</v>
      </c>
      <c r="T12" s="78">
        <v>0.4388</v>
      </c>
      <c r="U12" s="78">
        <v>0.463</v>
      </c>
      <c r="V12" s="78">
        <v>0.3765</v>
      </c>
      <c r="W12" s="78">
        <v>0.3585</v>
      </c>
    </row>
    <row r="13" spans="1:23" s="13" customFormat="1" ht="22.5" customHeight="1">
      <c r="A13" s="153"/>
      <c r="B13" s="153"/>
      <c r="C13" s="76" t="s">
        <v>230</v>
      </c>
      <c r="D13" s="7"/>
      <c r="E13" s="36"/>
      <c r="F13" s="38">
        <v>0.3</v>
      </c>
      <c r="G13" s="38">
        <v>0.201</v>
      </c>
      <c r="H13" s="38">
        <v>0.2946</v>
      </c>
      <c r="I13" s="38">
        <v>0.2685</v>
      </c>
      <c r="J13" s="38">
        <v>0.281</v>
      </c>
      <c r="K13" s="38">
        <v>0.235</v>
      </c>
      <c r="L13" s="81">
        <f t="shared" si="3"/>
        <v>0.12</v>
      </c>
      <c r="M13" s="81">
        <f t="shared" si="4"/>
        <v>0.119</v>
      </c>
      <c r="N13" s="81">
        <f t="shared" si="5"/>
        <v>0.08740000000000003</v>
      </c>
      <c r="O13" s="81">
        <f t="shared" si="6"/>
        <v>0.08049999999999996</v>
      </c>
      <c r="P13" s="81">
        <f t="shared" si="7"/>
        <v>0.08399999999999996</v>
      </c>
      <c r="Q13" s="81">
        <f t="shared" si="8"/>
        <v>0.07050000000000001</v>
      </c>
      <c r="R13" s="78">
        <v>0.42</v>
      </c>
      <c r="S13" s="78">
        <v>0.32</v>
      </c>
      <c r="T13" s="78">
        <v>0.382</v>
      </c>
      <c r="U13" s="78">
        <v>0.349</v>
      </c>
      <c r="V13" s="78">
        <v>0.365</v>
      </c>
      <c r="W13" s="78">
        <v>0.3055</v>
      </c>
    </row>
    <row r="14" spans="1:23" s="13" customFormat="1" ht="22.5" customHeight="1">
      <c r="A14" s="153"/>
      <c r="B14" s="153"/>
      <c r="C14" s="76" t="s">
        <v>231</v>
      </c>
      <c r="D14" s="7"/>
      <c r="E14" s="36"/>
      <c r="F14" s="38">
        <v>0.305</v>
      </c>
      <c r="G14" s="38">
        <v>0.195</v>
      </c>
      <c r="H14" s="38">
        <v>0.3051</v>
      </c>
      <c r="I14" s="38">
        <v>0.2646</v>
      </c>
      <c r="J14" s="38">
        <v>0.2885</v>
      </c>
      <c r="K14" s="38">
        <v>0.2317</v>
      </c>
      <c r="L14" s="81">
        <f t="shared" si="3"/>
        <v>0.15250000000000002</v>
      </c>
      <c r="M14" s="81">
        <f t="shared" si="4"/>
        <v>0.11699999999999999</v>
      </c>
      <c r="N14" s="81">
        <f t="shared" si="5"/>
        <v>0.09150000000000003</v>
      </c>
      <c r="O14" s="81">
        <f t="shared" si="6"/>
        <v>0.1058</v>
      </c>
      <c r="P14" s="81">
        <f t="shared" si="7"/>
        <v>0.08650000000000002</v>
      </c>
      <c r="Q14" s="81">
        <f t="shared" si="8"/>
        <v>0.06950000000000003</v>
      </c>
      <c r="R14" s="78">
        <v>0.4575</v>
      </c>
      <c r="S14" s="78">
        <v>0.312</v>
      </c>
      <c r="T14" s="78">
        <v>0.3966</v>
      </c>
      <c r="U14" s="78">
        <v>0.3704</v>
      </c>
      <c r="V14" s="78">
        <v>0.375</v>
      </c>
      <c r="W14" s="78">
        <v>0.3012</v>
      </c>
    </row>
    <row r="15" spans="1:23" s="13" customFormat="1" ht="22.5" customHeight="1">
      <c r="A15" s="153"/>
      <c r="B15" s="153"/>
      <c r="C15" s="76" t="s">
        <v>232</v>
      </c>
      <c r="D15" s="7"/>
      <c r="E15" s="36"/>
      <c r="F15" s="38">
        <v>0.302</v>
      </c>
      <c r="G15" s="38">
        <v>0.1969</v>
      </c>
      <c r="H15" s="38">
        <v>0.2974</v>
      </c>
      <c r="I15" s="38">
        <v>0.2518</v>
      </c>
      <c r="J15" s="38">
        <v>0.2782</v>
      </c>
      <c r="K15" s="38">
        <v>0.2333</v>
      </c>
      <c r="L15" s="81">
        <f t="shared" si="3"/>
        <v>0.12080000000000002</v>
      </c>
      <c r="M15" s="81">
        <f t="shared" si="4"/>
        <v>0.11810000000000001</v>
      </c>
      <c r="N15" s="81">
        <f t="shared" si="5"/>
        <v>0.0892</v>
      </c>
      <c r="O15" s="81">
        <f t="shared" si="6"/>
        <v>0.07549999999999996</v>
      </c>
      <c r="P15" s="81">
        <f t="shared" si="7"/>
        <v>0.08179999999999998</v>
      </c>
      <c r="Q15" s="81">
        <f t="shared" si="8"/>
        <v>0.07069999999999999</v>
      </c>
      <c r="R15" s="78">
        <v>0.4228</v>
      </c>
      <c r="S15" s="78">
        <v>0.315</v>
      </c>
      <c r="T15" s="78">
        <v>0.3866</v>
      </c>
      <c r="U15" s="78">
        <v>0.3273</v>
      </c>
      <c r="V15" s="78">
        <v>0.36</v>
      </c>
      <c r="W15" s="78">
        <v>0.304</v>
      </c>
    </row>
    <row r="16" spans="1:23" s="13" customFormat="1" ht="22.5" customHeight="1">
      <c r="A16" s="153"/>
      <c r="B16" s="153"/>
      <c r="C16" s="76" t="s">
        <v>233</v>
      </c>
      <c r="D16" s="7"/>
      <c r="E16" s="36"/>
      <c r="F16" s="38">
        <v>0.381</v>
      </c>
      <c r="G16" s="38">
        <v>0.341</v>
      </c>
      <c r="H16" s="38">
        <v>0.307</v>
      </c>
      <c r="I16" s="38">
        <v>0.3998</v>
      </c>
      <c r="J16" s="38">
        <v>0.31</v>
      </c>
      <c r="K16" s="38">
        <v>0.2771</v>
      </c>
      <c r="L16" s="81">
        <f t="shared" si="3"/>
        <v>0.11430000000000001</v>
      </c>
      <c r="M16" s="81">
        <f t="shared" si="4"/>
        <v>0.13639999999999997</v>
      </c>
      <c r="N16" s="81">
        <f t="shared" si="5"/>
        <v>0.09210000000000002</v>
      </c>
      <c r="O16" s="81">
        <f t="shared" si="6"/>
        <v>0.10000000000000003</v>
      </c>
      <c r="P16" s="81">
        <f t="shared" si="7"/>
        <v>0.09300000000000003</v>
      </c>
      <c r="Q16" s="81">
        <f t="shared" si="8"/>
        <v>0.08310000000000001</v>
      </c>
      <c r="R16" s="78">
        <v>0.4953</v>
      </c>
      <c r="S16" s="78">
        <v>0.4774</v>
      </c>
      <c r="T16" s="78">
        <v>0.3991</v>
      </c>
      <c r="U16" s="78">
        <v>0.4998</v>
      </c>
      <c r="V16" s="78">
        <v>0.403</v>
      </c>
      <c r="W16" s="78">
        <v>0.3602</v>
      </c>
    </row>
    <row r="17" spans="1:23" s="13" customFormat="1" ht="22.5" customHeight="1">
      <c r="A17" s="153"/>
      <c r="B17" s="153"/>
      <c r="C17" s="76" t="s">
        <v>234</v>
      </c>
      <c r="D17" s="7"/>
      <c r="E17" s="36"/>
      <c r="F17" s="38">
        <v>0.3045</v>
      </c>
      <c r="G17" s="38">
        <v>0.192</v>
      </c>
      <c r="H17" s="38">
        <v>0.311</v>
      </c>
      <c r="I17" s="38">
        <v>0.2685</v>
      </c>
      <c r="J17" s="38">
        <v>0.281</v>
      </c>
      <c r="K17" s="38">
        <v>0.2331</v>
      </c>
      <c r="L17" s="82"/>
      <c r="M17" s="82"/>
      <c r="N17" s="82"/>
      <c r="O17" s="82"/>
      <c r="P17" s="82"/>
      <c r="Q17" s="82"/>
      <c r="R17" s="78"/>
      <c r="S17" s="78"/>
      <c r="T17" s="78"/>
      <c r="U17" s="78"/>
      <c r="V17" s="78"/>
      <c r="W17" s="78"/>
    </row>
    <row r="18" spans="1:23" s="13" customFormat="1" ht="26.25" customHeight="1">
      <c r="A18" s="7">
        <v>5</v>
      </c>
      <c r="B18" s="52" t="s">
        <v>216</v>
      </c>
      <c r="C18" s="53"/>
      <c r="D18" s="7" t="s">
        <v>45</v>
      </c>
      <c r="E18" s="36">
        <v>39264</v>
      </c>
      <c r="F18" s="38">
        <v>0.4625</v>
      </c>
      <c r="G18" s="38">
        <v>0.3831</v>
      </c>
      <c r="H18" s="38">
        <v>0.4625</v>
      </c>
      <c r="I18" s="38">
        <v>0.455</v>
      </c>
      <c r="J18" s="38">
        <v>0.4625</v>
      </c>
      <c r="K18" s="38">
        <v>0.4625</v>
      </c>
      <c r="L18" s="81">
        <f aca="true" t="shared" si="9" ref="L18:Q18">R18-F18</f>
        <v>0.41999999999999993</v>
      </c>
      <c r="M18" s="81">
        <f t="shared" si="9"/>
        <v>0.4609</v>
      </c>
      <c r="N18" s="81">
        <f t="shared" si="9"/>
        <v>0.41999999999999993</v>
      </c>
      <c r="O18" s="81">
        <f t="shared" si="9"/>
        <v>0.44249999999999995</v>
      </c>
      <c r="P18" s="81">
        <f t="shared" si="9"/>
        <v>0.41999999999999993</v>
      </c>
      <c r="Q18" s="81">
        <f t="shared" si="9"/>
        <v>0.41999999999999993</v>
      </c>
      <c r="R18" s="78">
        <v>0.8825</v>
      </c>
      <c r="S18" s="78">
        <v>0.844</v>
      </c>
      <c r="T18" s="78">
        <v>0.8825</v>
      </c>
      <c r="U18" s="78">
        <v>0.8975</v>
      </c>
      <c r="V18" s="78">
        <v>0.8825</v>
      </c>
      <c r="W18" s="78">
        <v>0.8825</v>
      </c>
    </row>
    <row r="19" spans="1:23" s="13" customFormat="1" ht="28.5" customHeight="1">
      <c r="A19" s="153">
        <v>6</v>
      </c>
      <c r="B19" s="153" t="s">
        <v>122</v>
      </c>
      <c r="C19" s="76" t="s">
        <v>239</v>
      </c>
      <c r="D19" s="7" t="s">
        <v>61</v>
      </c>
      <c r="E19" s="36">
        <v>39448</v>
      </c>
      <c r="F19" s="38">
        <v>1.207</v>
      </c>
      <c r="G19" s="38">
        <v>1.1101</v>
      </c>
      <c r="H19" s="38">
        <v>0.8288</v>
      </c>
      <c r="I19" s="38">
        <v>1.2325</v>
      </c>
      <c r="J19" s="38">
        <v>1.207</v>
      </c>
      <c r="K19" s="38">
        <v>0.8288</v>
      </c>
      <c r="L19" s="82"/>
      <c r="M19" s="82"/>
      <c r="N19" s="81">
        <f aca="true" t="shared" si="10" ref="N19:N24">T19-H19</f>
        <v>0.3782000000000001</v>
      </c>
      <c r="O19" s="82"/>
      <c r="P19" s="82"/>
      <c r="Q19" s="81">
        <f aca="true" t="shared" si="11" ref="Q19:Q24">W19-K19</f>
        <v>0.3782000000000001</v>
      </c>
      <c r="R19" s="78"/>
      <c r="S19" s="78"/>
      <c r="T19" s="38">
        <v>1.207</v>
      </c>
      <c r="U19" s="78"/>
      <c r="V19" s="78"/>
      <c r="W19" s="38">
        <v>1.207</v>
      </c>
    </row>
    <row r="20" spans="1:23" s="13" customFormat="1" ht="21.75" customHeight="1">
      <c r="A20" s="153"/>
      <c r="B20" s="153"/>
      <c r="C20" s="76" t="s">
        <v>240</v>
      </c>
      <c r="D20" s="7"/>
      <c r="E20" s="36"/>
      <c r="F20" s="38">
        <v>1.1624</v>
      </c>
      <c r="G20" s="38">
        <v>1.0717</v>
      </c>
      <c r="H20" s="38">
        <v>0.7395</v>
      </c>
      <c r="I20" s="38">
        <v>1.19</v>
      </c>
      <c r="J20" s="38">
        <v>1.1624</v>
      </c>
      <c r="K20" s="38">
        <v>0.7395</v>
      </c>
      <c r="L20" s="82"/>
      <c r="M20" s="82"/>
      <c r="N20" s="81">
        <f t="shared" si="10"/>
        <v>0.42290000000000005</v>
      </c>
      <c r="O20" s="82"/>
      <c r="P20" s="82"/>
      <c r="Q20" s="81">
        <f t="shared" si="11"/>
        <v>0.42290000000000005</v>
      </c>
      <c r="R20" s="78"/>
      <c r="S20" s="78"/>
      <c r="T20" s="38">
        <v>1.1624</v>
      </c>
      <c r="U20" s="78"/>
      <c r="V20" s="78"/>
      <c r="W20" s="38">
        <v>1.1624</v>
      </c>
    </row>
    <row r="21" spans="1:23" s="13" customFormat="1" ht="21.75" customHeight="1">
      <c r="A21" s="153"/>
      <c r="B21" s="153"/>
      <c r="C21" s="76" t="s">
        <v>241</v>
      </c>
      <c r="D21" s="7"/>
      <c r="E21" s="36"/>
      <c r="F21" s="38">
        <v>1.0838</v>
      </c>
      <c r="G21" s="38">
        <v>1.0035</v>
      </c>
      <c r="H21" s="38">
        <v>0.7395</v>
      </c>
      <c r="I21" s="38">
        <v>1.19</v>
      </c>
      <c r="J21" s="38">
        <v>1.0838</v>
      </c>
      <c r="K21" s="38">
        <v>0.7395</v>
      </c>
      <c r="L21" s="82"/>
      <c r="M21" s="82"/>
      <c r="N21" s="81">
        <f t="shared" si="10"/>
        <v>0.34430000000000005</v>
      </c>
      <c r="O21" s="82"/>
      <c r="P21" s="82"/>
      <c r="Q21" s="81">
        <f t="shared" si="11"/>
        <v>0.34430000000000005</v>
      </c>
      <c r="R21" s="78"/>
      <c r="S21" s="78"/>
      <c r="T21" s="38">
        <v>1.0838</v>
      </c>
      <c r="U21" s="78"/>
      <c r="V21" s="78"/>
      <c r="W21" s="38">
        <v>1.0838</v>
      </c>
    </row>
    <row r="22" spans="1:23" s="13" customFormat="1" ht="21.75" customHeight="1">
      <c r="A22" s="153"/>
      <c r="B22" s="153"/>
      <c r="C22" s="76" t="s">
        <v>242</v>
      </c>
      <c r="D22" s="7"/>
      <c r="E22" s="36"/>
      <c r="F22" s="38">
        <v>1.1624</v>
      </c>
      <c r="G22" s="38">
        <v>1.0717</v>
      </c>
      <c r="H22" s="38">
        <v>0.7395</v>
      </c>
      <c r="I22" s="38">
        <v>1.19</v>
      </c>
      <c r="J22" s="38">
        <v>1.1624</v>
      </c>
      <c r="K22" s="38">
        <v>0.7395</v>
      </c>
      <c r="L22" s="82"/>
      <c r="M22" s="82"/>
      <c r="N22" s="81">
        <f t="shared" si="10"/>
        <v>0.42290000000000005</v>
      </c>
      <c r="O22" s="82"/>
      <c r="P22" s="82"/>
      <c r="Q22" s="81">
        <f t="shared" si="11"/>
        <v>0.42290000000000005</v>
      </c>
      <c r="R22" s="78"/>
      <c r="S22" s="78"/>
      <c r="T22" s="38">
        <v>1.1624</v>
      </c>
      <c r="U22" s="78"/>
      <c r="V22" s="78"/>
      <c r="W22" s="38">
        <v>1.1624</v>
      </c>
    </row>
    <row r="23" spans="1:23" s="13" customFormat="1" ht="21.75" customHeight="1">
      <c r="A23" s="153"/>
      <c r="B23" s="153"/>
      <c r="C23" s="76" t="s">
        <v>243</v>
      </c>
      <c r="D23" s="7"/>
      <c r="E23" s="36"/>
      <c r="F23" s="38">
        <v>1.1178</v>
      </c>
      <c r="G23" s="38">
        <v>1.0377</v>
      </c>
      <c r="H23" s="38">
        <v>0.7395</v>
      </c>
      <c r="I23" s="38">
        <v>1.19</v>
      </c>
      <c r="J23" s="38">
        <v>1.1178</v>
      </c>
      <c r="K23" s="38">
        <v>0.7395</v>
      </c>
      <c r="L23" s="82"/>
      <c r="M23" s="82"/>
      <c r="N23" s="81">
        <f t="shared" si="10"/>
        <v>0.37829999999999986</v>
      </c>
      <c r="O23" s="82"/>
      <c r="P23" s="82"/>
      <c r="Q23" s="81">
        <f t="shared" si="11"/>
        <v>0.37829999999999986</v>
      </c>
      <c r="R23" s="78"/>
      <c r="S23" s="78"/>
      <c r="T23" s="38">
        <v>1.1178</v>
      </c>
      <c r="U23" s="78"/>
      <c r="V23" s="78"/>
      <c r="W23" s="38">
        <v>1.1178</v>
      </c>
    </row>
    <row r="24" spans="1:23" s="13" customFormat="1" ht="21.75" customHeight="1">
      <c r="A24" s="153"/>
      <c r="B24" s="153"/>
      <c r="C24" s="76" t="s">
        <v>244</v>
      </c>
      <c r="D24" s="7"/>
      <c r="E24" s="36"/>
      <c r="F24" s="38">
        <v>1.1178</v>
      </c>
      <c r="G24" s="38">
        <v>1.0377</v>
      </c>
      <c r="H24" s="38">
        <v>0.7395</v>
      </c>
      <c r="I24" s="38">
        <v>1.19</v>
      </c>
      <c r="J24" s="38">
        <v>1.1178</v>
      </c>
      <c r="K24" s="38">
        <v>0.7395</v>
      </c>
      <c r="L24" s="82"/>
      <c r="M24" s="82"/>
      <c r="N24" s="81">
        <f t="shared" si="10"/>
        <v>0.37829999999999986</v>
      </c>
      <c r="O24" s="82"/>
      <c r="P24" s="82"/>
      <c r="Q24" s="81">
        <f t="shared" si="11"/>
        <v>0.37829999999999986</v>
      </c>
      <c r="R24" s="78"/>
      <c r="S24" s="78"/>
      <c r="T24" s="38">
        <v>1.1178</v>
      </c>
      <c r="U24" s="78"/>
      <c r="V24" s="78"/>
      <c r="W24" s="38">
        <v>1.1178</v>
      </c>
    </row>
    <row r="25" spans="1:23" s="13" customFormat="1" ht="21.75" customHeight="1">
      <c r="A25" s="153">
        <v>7</v>
      </c>
      <c r="B25" s="153" t="s">
        <v>123</v>
      </c>
      <c r="C25" s="76" t="s">
        <v>250</v>
      </c>
      <c r="D25" s="7" t="s">
        <v>70</v>
      </c>
      <c r="E25" s="36">
        <v>39264</v>
      </c>
      <c r="F25" s="38">
        <v>0.1855</v>
      </c>
      <c r="G25" s="38">
        <v>0.128</v>
      </c>
      <c r="H25" s="38">
        <v>0.1855</v>
      </c>
      <c r="I25" s="38">
        <v>0.176</v>
      </c>
      <c r="J25" s="38">
        <v>0.1875</v>
      </c>
      <c r="K25" s="38">
        <v>0.187</v>
      </c>
      <c r="L25" s="81">
        <f aca="true" t="shared" si="12" ref="L25:Q29">R25-F25</f>
        <v>0.08950000000000002</v>
      </c>
      <c r="M25" s="81">
        <f t="shared" si="12"/>
        <v>0.044999999999999984</v>
      </c>
      <c r="N25" s="81">
        <f t="shared" si="12"/>
        <v>0.08950000000000002</v>
      </c>
      <c r="O25" s="81">
        <f t="shared" si="12"/>
        <v>0.04100000000000001</v>
      </c>
      <c r="P25" s="81">
        <f t="shared" si="12"/>
        <v>0.09749999999999998</v>
      </c>
      <c r="Q25" s="81">
        <f t="shared" si="12"/>
        <v>0.09400000000000003</v>
      </c>
      <c r="R25" s="38">
        <v>0.275</v>
      </c>
      <c r="S25" s="38">
        <v>0.173</v>
      </c>
      <c r="T25" s="38">
        <v>0.275</v>
      </c>
      <c r="U25" s="38">
        <v>0.217</v>
      </c>
      <c r="V25" s="38">
        <v>0.285</v>
      </c>
      <c r="W25" s="38">
        <v>0.281</v>
      </c>
    </row>
    <row r="26" spans="1:23" s="13" customFormat="1" ht="21.75" customHeight="1">
      <c r="A26" s="153"/>
      <c r="B26" s="153"/>
      <c r="C26" s="76" t="s">
        <v>251</v>
      </c>
      <c r="D26" s="7"/>
      <c r="E26" s="36"/>
      <c r="F26" s="38">
        <v>0.1555</v>
      </c>
      <c r="G26" s="38">
        <v>0.123</v>
      </c>
      <c r="H26" s="38">
        <v>0.1555</v>
      </c>
      <c r="I26" s="38">
        <v>0.163</v>
      </c>
      <c r="J26" s="38">
        <v>0.1655</v>
      </c>
      <c r="K26" s="38">
        <v>0.163</v>
      </c>
      <c r="L26" s="81">
        <f t="shared" si="12"/>
        <v>0.08149999999999999</v>
      </c>
      <c r="M26" s="81">
        <f t="shared" si="12"/>
        <v>0.047000000000000014</v>
      </c>
      <c r="N26" s="81">
        <f t="shared" si="12"/>
        <v>0.08149999999999999</v>
      </c>
      <c r="O26" s="81">
        <f t="shared" si="12"/>
        <v>0.037000000000000005</v>
      </c>
      <c r="P26" s="81">
        <f t="shared" si="12"/>
        <v>0.07849999999999999</v>
      </c>
      <c r="Q26" s="81">
        <f t="shared" si="12"/>
        <v>0.07899999999999999</v>
      </c>
      <c r="R26" s="38">
        <v>0.237</v>
      </c>
      <c r="S26" s="38">
        <v>0.17</v>
      </c>
      <c r="T26" s="38">
        <v>0.237</v>
      </c>
      <c r="U26" s="38">
        <v>0.2</v>
      </c>
      <c r="V26" s="38">
        <v>0.244</v>
      </c>
      <c r="W26" s="38">
        <v>0.242</v>
      </c>
    </row>
    <row r="27" spans="1:23" s="13" customFormat="1" ht="21.75" customHeight="1">
      <c r="A27" s="153"/>
      <c r="B27" s="153"/>
      <c r="C27" s="76" t="s">
        <v>252</v>
      </c>
      <c r="D27" s="7"/>
      <c r="E27" s="36"/>
      <c r="F27" s="38">
        <v>0.1385</v>
      </c>
      <c r="G27" s="38">
        <v>0.0956</v>
      </c>
      <c r="H27" s="38">
        <v>0.1385</v>
      </c>
      <c r="I27" s="38">
        <v>0.135</v>
      </c>
      <c r="J27" s="38">
        <v>0.15</v>
      </c>
      <c r="K27" s="38">
        <v>0.145</v>
      </c>
      <c r="L27" s="81">
        <f t="shared" si="12"/>
        <v>0.0865</v>
      </c>
      <c r="M27" s="81">
        <f t="shared" si="12"/>
        <v>0.05689999999999999</v>
      </c>
      <c r="N27" s="81">
        <f t="shared" si="12"/>
        <v>0.0865</v>
      </c>
      <c r="O27" s="81">
        <f t="shared" si="12"/>
        <v>0.044999999999999984</v>
      </c>
      <c r="P27" s="81">
        <f t="shared" si="12"/>
        <v>0.087</v>
      </c>
      <c r="Q27" s="81">
        <f t="shared" si="12"/>
        <v>0.08900000000000002</v>
      </c>
      <c r="R27" s="38">
        <v>0.225</v>
      </c>
      <c r="S27" s="38">
        <v>0.1525</v>
      </c>
      <c r="T27" s="38">
        <v>0.225</v>
      </c>
      <c r="U27" s="38">
        <v>0.18</v>
      </c>
      <c r="V27" s="38">
        <v>0.237</v>
      </c>
      <c r="W27" s="38">
        <v>0.234</v>
      </c>
    </row>
    <row r="28" spans="1:23" s="13" customFormat="1" ht="21.75" customHeight="1">
      <c r="A28" s="153"/>
      <c r="B28" s="153"/>
      <c r="C28" s="76" t="s">
        <v>253</v>
      </c>
      <c r="D28" s="7"/>
      <c r="E28" s="36"/>
      <c r="F28" s="38">
        <v>0.164</v>
      </c>
      <c r="G28" s="38">
        <v>0.1125</v>
      </c>
      <c r="H28" s="38">
        <v>0.164</v>
      </c>
      <c r="I28" s="38">
        <v>0.168</v>
      </c>
      <c r="J28" s="38">
        <v>0.175</v>
      </c>
      <c r="K28" s="38">
        <v>0.168</v>
      </c>
      <c r="L28" s="81">
        <f t="shared" si="12"/>
        <v>0.08099999999999999</v>
      </c>
      <c r="M28" s="81">
        <f t="shared" si="12"/>
        <v>0.052500000000000005</v>
      </c>
      <c r="N28" s="81">
        <f t="shared" si="12"/>
        <v>0.08099999999999999</v>
      </c>
      <c r="O28" s="81">
        <f t="shared" si="12"/>
        <v>0.03899999999999998</v>
      </c>
      <c r="P28" s="81">
        <f t="shared" si="12"/>
        <v>0.07350000000000001</v>
      </c>
      <c r="Q28" s="81">
        <f t="shared" si="12"/>
        <v>0.07999999999999999</v>
      </c>
      <c r="R28" s="38">
        <v>0.245</v>
      </c>
      <c r="S28" s="38">
        <v>0.165</v>
      </c>
      <c r="T28" s="38">
        <v>0.245</v>
      </c>
      <c r="U28" s="38">
        <v>0.207</v>
      </c>
      <c r="V28" s="38">
        <v>0.2485</v>
      </c>
      <c r="W28" s="38">
        <v>0.248</v>
      </c>
    </row>
    <row r="29" spans="1:23" s="13" customFormat="1" ht="21.75" customHeight="1">
      <c r="A29" s="153"/>
      <c r="B29" s="153"/>
      <c r="C29" s="76" t="s">
        <v>254</v>
      </c>
      <c r="D29" s="7"/>
      <c r="E29" s="36"/>
      <c r="F29" s="38">
        <v>0.115</v>
      </c>
      <c r="G29" s="38">
        <v>0.075</v>
      </c>
      <c r="H29" s="38">
        <v>0.115</v>
      </c>
      <c r="I29" s="38">
        <v>0.107</v>
      </c>
      <c r="J29" s="38">
        <v>0.129</v>
      </c>
      <c r="K29" s="38">
        <v>0.125</v>
      </c>
      <c r="L29" s="81">
        <f t="shared" si="12"/>
        <v>0.08800000000000001</v>
      </c>
      <c r="M29" s="81">
        <f t="shared" si="12"/>
        <v>0.042499999999999996</v>
      </c>
      <c r="N29" s="81">
        <f t="shared" si="12"/>
        <v>0.08800000000000001</v>
      </c>
      <c r="O29" s="81">
        <f t="shared" si="12"/>
        <v>0.03799999999999999</v>
      </c>
      <c r="P29" s="81">
        <f t="shared" si="12"/>
        <v>0.08099999999999999</v>
      </c>
      <c r="Q29" s="81">
        <f t="shared" si="12"/>
        <v>0.08199999999999999</v>
      </c>
      <c r="R29" s="38">
        <v>0.203</v>
      </c>
      <c r="S29" s="38">
        <v>0.1175</v>
      </c>
      <c r="T29" s="38">
        <v>0.203</v>
      </c>
      <c r="U29" s="38">
        <v>0.145</v>
      </c>
      <c r="V29" s="38">
        <v>0.21</v>
      </c>
      <c r="W29" s="38">
        <v>0.207</v>
      </c>
    </row>
    <row r="30" spans="1:23" s="13" customFormat="1" ht="21.75" customHeight="1">
      <c r="A30" s="7">
        <v>8</v>
      </c>
      <c r="B30" s="52" t="s">
        <v>223</v>
      </c>
      <c r="C30" s="53"/>
      <c r="D30" s="7" t="s">
        <v>118</v>
      </c>
      <c r="E30" s="36">
        <v>39569</v>
      </c>
      <c r="F30" s="38">
        <v>0.5925</v>
      </c>
      <c r="G30" s="38">
        <v>0.398</v>
      </c>
      <c r="H30" s="38">
        <v>0.5925</v>
      </c>
      <c r="I30" s="38">
        <v>0.5</v>
      </c>
      <c r="J30" s="38">
        <v>0.5925</v>
      </c>
      <c r="K30" s="38">
        <v>0.5925</v>
      </c>
      <c r="L30" s="82"/>
      <c r="M30" s="82"/>
      <c r="N30" s="82"/>
      <c r="O30" s="82"/>
      <c r="P30" s="82"/>
      <c r="Q30" s="82"/>
      <c r="R30" s="78"/>
      <c r="S30" s="78"/>
      <c r="T30" s="78"/>
      <c r="U30" s="78"/>
      <c r="V30" s="78"/>
      <c r="W30" s="78"/>
    </row>
    <row r="31" spans="1:23" s="13" customFormat="1" ht="24.75" customHeight="1">
      <c r="A31" s="153">
        <v>9</v>
      </c>
      <c r="B31" s="153" t="s">
        <v>172</v>
      </c>
      <c r="C31" s="76" t="s">
        <v>235</v>
      </c>
      <c r="D31" s="7" t="s">
        <v>49</v>
      </c>
      <c r="E31" s="36">
        <v>39448</v>
      </c>
      <c r="F31" s="38">
        <v>0.2496</v>
      </c>
      <c r="G31" s="38">
        <v>0.2278</v>
      </c>
      <c r="H31" s="38">
        <v>0.2345</v>
      </c>
      <c r="I31" s="38">
        <v>0.242</v>
      </c>
      <c r="J31" s="38">
        <v>0.2687</v>
      </c>
      <c r="K31" s="38">
        <v>0.286</v>
      </c>
      <c r="L31" s="81">
        <f aca="true" t="shared" si="13" ref="L31:Q34">R31-F31</f>
        <v>0.13990000000000002</v>
      </c>
      <c r="M31" s="81">
        <f t="shared" si="13"/>
        <v>0.1406</v>
      </c>
      <c r="N31" s="81">
        <f t="shared" si="13"/>
        <v>0.13830000000000003</v>
      </c>
      <c r="O31" s="81">
        <f t="shared" si="13"/>
        <v>0.1538</v>
      </c>
      <c r="P31" s="81">
        <f t="shared" si="13"/>
        <v>0.14529999999999998</v>
      </c>
      <c r="Q31" s="81">
        <f t="shared" si="13"/>
        <v>0.17360000000000003</v>
      </c>
      <c r="R31" s="38">
        <v>0.3895</v>
      </c>
      <c r="S31" s="38">
        <v>0.3684</v>
      </c>
      <c r="T31" s="38">
        <v>0.3728</v>
      </c>
      <c r="U31" s="38">
        <v>0.3958</v>
      </c>
      <c r="V31" s="38">
        <v>0.414</v>
      </c>
      <c r="W31" s="38">
        <v>0.4596</v>
      </c>
    </row>
    <row r="32" spans="1:23" s="13" customFormat="1" ht="24.75" customHeight="1">
      <c r="A32" s="153"/>
      <c r="B32" s="153"/>
      <c r="C32" s="76" t="s">
        <v>236</v>
      </c>
      <c r="D32" s="7" t="s">
        <v>210</v>
      </c>
      <c r="E32" s="36">
        <v>39448</v>
      </c>
      <c r="F32" s="38">
        <v>0.2496</v>
      </c>
      <c r="G32" s="38">
        <v>0.2278</v>
      </c>
      <c r="H32" s="38">
        <v>0.2345</v>
      </c>
      <c r="I32" s="38">
        <v>0.242</v>
      </c>
      <c r="J32" s="38">
        <v>0.2687</v>
      </c>
      <c r="K32" s="38">
        <v>0.286</v>
      </c>
      <c r="L32" s="81">
        <f t="shared" si="13"/>
        <v>0.13990000000000002</v>
      </c>
      <c r="M32" s="81">
        <f t="shared" si="13"/>
        <v>0.1406</v>
      </c>
      <c r="N32" s="81">
        <f t="shared" si="13"/>
        <v>0.13830000000000003</v>
      </c>
      <c r="O32" s="81">
        <f t="shared" si="13"/>
        <v>0.1538</v>
      </c>
      <c r="P32" s="81">
        <f t="shared" si="13"/>
        <v>0.14529999999999998</v>
      </c>
      <c r="Q32" s="81">
        <f t="shared" si="13"/>
        <v>0.17360000000000003</v>
      </c>
      <c r="R32" s="38">
        <v>0.3895</v>
      </c>
      <c r="S32" s="38">
        <v>0.3684</v>
      </c>
      <c r="T32" s="38">
        <v>0.3728</v>
      </c>
      <c r="U32" s="38">
        <v>0.3958</v>
      </c>
      <c r="V32" s="38">
        <v>0.414</v>
      </c>
      <c r="W32" s="38">
        <v>0.4596</v>
      </c>
    </row>
    <row r="33" spans="1:23" s="13" customFormat="1" ht="24.75" customHeight="1">
      <c r="A33" s="153"/>
      <c r="B33" s="153"/>
      <c r="C33" s="76" t="s">
        <v>237</v>
      </c>
      <c r="D33" s="7" t="s">
        <v>211</v>
      </c>
      <c r="E33" s="36">
        <v>39448</v>
      </c>
      <c r="F33" s="38">
        <v>0.2446</v>
      </c>
      <c r="G33" s="38">
        <v>0.2228</v>
      </c>
      <c r="H33" s="38">
        <v>0.2345</v>
      </c>
      <c r="I33" s="38">
        <v>0.237</v>
      </c>
      <c r="J33" s="38">
        <v>0.2637</v>
      </c>
      <c r="K33" s="38">
        <v>0.281</v>
      </c>
      <c r="L33" s="81">
        <f t="shared" si="13"/>
        <v>0.1344</v>
      </c>
      <c r="M33" s="81">
        <f t="shared" si="13"/>
        <v>0.1326</v>
      </c>
      <c r="N33" s="81">
        <f t="shared" si="13"/>
        <v>0.12780000000000002</v>
      </c>
      <c r="O33" s="81">
        <f t="shared" si="13"/>
        <v>0.14690000000000003</v>
      </c>
      <c r="P33" s="81">
        <f t="shared" si="13"/>
        <v>0.1371</v>
      </c>
      <c r="Q33" s="81">
        <f t="shared" si="13"/>
        <v>0.12179999999999996</v>
      </c>
      <c r="R33" s="38">
        <v>0.379</v>
      </c>
      <c r="S33" s="38">
        <v>0.3554</v>
      </c>
      <c r="T33" s="38">
        <v>0.3623</v>
      </c>
      <c r="U33" s="38">
        <v>0.3839</v>
      </c>
      <c r="V33" s="38">
        <v>0.4008</v>
      </c>
      <c r="W33" s="38">
        <v>0.4028</v>
      </c>
    </row>
    <row r="34" spans="1:23" s="13" customFormat="1" ht="24.75" customHeight="1">
      <c r="A34" s="153"/>
      <c r="B34" s="153"/>
      <c r="C34" s="76" t="s">
        <v>238</v>
      </c>
      <c r="D34" s="7" t="s">
        <v>212</v>
      </c>
      <c r="E34" s="36">
        <v>39448</v>
      </c>
      <c r="F34" s="38">
        <v>0.2386</v>
      </c>
      <c r="G34" s="38">
        <v>0.2168</v>
      </c>
      <c r="H34" s="38">
        <v>0.2235</v>
      </c>
      <c r="I34" s="38">
        <v>0.231</v>
      </c>
      <c r="J34" s="38">
        <v>0.2577</v>
      </c>
      <c r="K34" s="38">
        <v>0.275</v>
      </c>
      <c r="L34" s="81">
        <f t="shared" si="13"/>
        <v>0.1338</v>
      </c>
      <c r="M34" s="81">
        <f t="shared" si="13"/>
        <v>0.132</v>
      </c>
      <c r="N34" s="81">
        <f t="shared" si="13"/>
        <v>0.13210000000000002</v>
      </c>
      <c r="O34" s="81">
        <f t="shared" si="13"/>
        <v>0.14919999999999997</v>
      </c>
      <c r="P34" s="81">
        <f t="shared" si="13"/>
        <v>0.1365</v>
      </c>
      <c r="Q34" s="81">
        <f t="shared" si="13"/>
        <v>0.1683</v>
      </c>
      <c r="R34" s="38">
        <v>0.3724</v>
      </c>
      <c r="S34" s="38">
        <v>0.3488</v>
      </c>
      <c r="T34" s="38">
        <v>0.3556</v>
      </c>
      <c r="U34" s="38">
        <v>0.3802</v>
      </c>
      <c r="V34" s="38">
        <v>0.3942</v>
      </c>
      <c r="W34" s="38">
        <v>0.4433</v>
      </c>
    </row>
    <row r="35" spans="1:23" s="13" customFormat="1" ht="23.25" customHeight="1">
      <c r="A35" s="7">
        <v>10</v>
      </c>
      <c r="B35" s="52" t="s">
        <v>213</v>
      </c>
      <c r="C35" s="53"/>
      <c r="D35" s="7" t="s">
        <v>33</v>
      </c>
      <c r="E35" s="36">
        <v>39264</v>
      </c>
      <c r="F35" s="38">
        <v>0.8077</v>
      </c>
      <c r="G35" s="38">
        <v>0.5482</v>
      </c>
      <c r="H35" s="38">
        <v>0.8077</v>
      </c>
      <c r="I35" s="38">
        <v>0.6484</v>
      </c>
      <c r="J35" s="38">
        <v>0.8077</v>
      </c>
      <c r="K35" s="38">
        <v>0.8077</v>
      </c>
      <c r="L35" s="82"/>
      <c r="M35" s="82"/>
      <c r="N35" s="82"/>
      <c r="O35" s="82"/>
      <c r="P35" s="82"/>
      <c r="Q35" s="82"/>
      <c r="R35" s="78"/>
      <c r="S35" s="78"/>
      <c r="T35" s="78"/>
      <c r="U35" s="78"/>
      <c r="V35" s="78"/>
      <c r="W35" s="78"/>
    </row>
    <row r="36" spans="1:23" s="13" customFormat="1" ht="26.25" customHeight="1">
      <c r="A36" s="7">
        <v>11</v>
      </c>
      <c r="B36" s="52" t="s">
        <v>215</v>
      </c>
      <c r="C36" s="53"/>
      <c r="D36" s="7" t="s">
        <v>42</v>
      </c>
      <c r="E36" s="36">
        <v>39203</v>
      </c>
      <c r="F36" s="38">
        <v>0.5134</v>
      </c>
      <c r="G36" s="38">
        <v>0.482</v>
      </c>
      <c r="H36" s="38">
        <v>0.5134</v>
      </c>
      <c r="I36" s="38">
        <v>0.5682</v>
      </c>
      <c r="J36" s="38">
        <v>0.5134</v>
      </c>
      <c r="K36" s="38">
        <v>0.66</v>
      </c>
      <c r="L36" s="82"/>
      <c r="M36" s="82"/>
      <c r="N36" s="82"/>
      <c r="O36" s="82"/>
      <c r="P36" s="82"/>
      <c r="Q36" s="82"/>
      <c r="R36" s="78"/>
      <c r="S36" s="78"/>
      <c r="T36" s="78"/>
      <c r="U36" s="78"/>
      <c r="V36" s="78"/>
      <c r="W36" s="78"/>
    </row>
    <row r="37" spans="1:23" s="13" customFormat="1" ht="21.75" customHeight="1">
      <c r="A37" s="7">
        <v>12</v>
      </c>
      <c r="B37" s="52" t="s">
        <v>220</v>
      </c>
      <c r="C37" s="53"/>
      <c r="D37" s="7" t="s">
        <v>58</v>
      </c>
      <c r="E37" s="36">
        <v>39448</v>
      </c>
      <c r="F37" s="38">
        <v>0.4994</v>
      </c>
      <c r="G37" s="38">
        <v>0.2573</v>
      </c>
      <c r="H37" s="38">
        <v>0.4994</v>
      </c>
      <c r="I37" s="38">
        <v>0.4443</v>
      </c>
      <c r="J37" s="38">
        <v>0.4994</v>
      </c>
      <c r="K37" s="38">
        <v>0.5574</v>
      </c>
      <c r="L37" s="81">
        <f aca="true" t="shared" si="14" ref="L37:Q37">R37-F37</f>
        <v>0.4954</v>
      </c>
      <c r="M37" s="81">
        <f t="shared" si="14"/>
        <v>0.4155</v>
      </c>
      <c r="N37" s="81">
        <f t="shared" si="14"/>
        <v>0.4954</v>
      </c>
      <c r="O37" s="81">
        <f t="shared" si="14"/>
        <v>0.4751</v>
      </c>
      <c r="P37" s="81">
        <f t="shared" si="14"/>
        <v>0.4954</v>
      </c>
      <c r="Q37" s="81">
        <f t="shared" si="14"/>
        <v>0.4646</v>
      </c>
      <c r="R37" s="38">
        <v>0.9948</v>
      </c>
      <c r="S37" s="38">
        <v>0.6728</v>
      </c>
      <c r="T37" s="38">
        <v>0.9948</v>
      </c>
      <c r="U37" s="38">
        <v>0.9194</v>
      </c>
      <c r="V37" s="38">
        <v>0.9948</v>
      </c>
      <c r="W37" s="38">
        <v>1.022</v>
      </c>
    </row>
    <row r="38" spans="1:23" s="13" customFormat="1" ht="21.75" customHeight="1">
      <c r="A38" s="7">
        <v>13</v>
      </c>
      <c r="B38" s="52" t="s">
        <v>222</v>
      </c>
      <c r="C38" s="53"/>
      <c r="D38" s="7" t="s">
        <v>73</v>
      </c>
      <c r="E38" s="36">
        <v>39448</v>
      </c>
      <c r="F38" s="38">
        <v>0.7521</v>
      </c>
      <c r="G38" s="38">
        <v>0.7157</v>
      </c>
      <c r="H38" s="38">
        <v>0.7141</v>
      </c>
      <c r="I38" s="38">
        <v>0.9106</v>
      </c>
      <c r="J38" s="38">
        <v>0.7565</v>
      </c>
      <c r="K38" s="38">
        <v>0.7813</v>
      </c>
      <c r="L38" s="82"/>
      <c r="M38" s="82"/>
      <c r="N38" s="82"/>
      <c r="O38" s="82"/>
      <c r="P38" s="82"/>
      <c r="Q38" s="82"/>
      <c r="R38" s="78"/>
      <c r="S38" s="78"/>
      <c r="T38" s="78"/>
      <c r="U38" s="78"/>
      <c r="V38" s="78"/>
      <c r="W38" s="78"/>
    </row>
    <row r="39" spans="1:23" s="13" customFormat="1" ht="21.75" customHeight="1">
      <c r="A39" s="7">
        <v>14</v>
      </c>
      <c r="B39" s="52" t="s">
        <v>218</v>
      </c>
      <c r="C39" s="53"/>
      <c r="D39" s="7" t="s">
        <v>52</v>
      </c>
      <c r="E39" s="36">
        <v>39448</v>
      </c>
      <c r="F39" s="38">
        <v>0.595</v>
      </c>
      <c r="G39" s="38">
        <v>0.426</v>
      </c>
      <c r="H39" s="38">
        <v>0.595</v>
      </c>
      <c r="I39" s="38">
        <v>0.655</v>
      </c>
      <c r="J39" s="38">
        <v>0.4925</v>
      </c>
      <c r="K39" s="38">
        <v>0.4925</v>
      </c>
      <c r="L39" s="82"/>
      <c r="M39" s="82"/>
      <c r="N39" s="82"/>
      <c r="O39" s="82"/>
      <c r="P39" s="82"/>
      <c r="Q39" s="82"/>
      <c r="R39" s="78"/>
      <c r="S39" s="78"/>
      <c r="T39" s="78"/>
      <c r="U39" s="78"/>
      <c r="V39" s="78"/>
      <c r="W39" s="78"/>
    </row>
    <row r="40" spans="1:23" s="13" customFormat="1" ht="26.25" customHeight="1">
      <c r="A40" s="7">
        <v>15</v>
      </c>
      <c r="B40" s="52" t="s">
        <v>217</v>
      </c>
      <c r="C40" s="53"/>
      <c r="D40" s="7" t="s">
        <v>111</v>
      </c>
      <c r="E40" s="36">
        <v>39539</v>
      </c>
      <c r="F40" s="38">
        <v>0.08</v>
      </c>
      <c r="G40" s="38">
        <v>0.12</v>
      </c>
      <c r="H40" s="38">
        <v>0.07</v>
      </c>
      <c r="I40" s="38">
        <v>0.1</v>
      </c>
      <c r="J40" s="38">
        <v>0.08</v>
      </c>
      <c r="K40" s="38">
        <v>0.07</v>
      </c>
      <c r="L40" s="82"/>
      <c r="M40" s="82"/>
      <c r="N40" s="82"/>
      <c r="O40" s="82"/>
      <c r="P40" s="82"/>
      <c r="Q40" s="82"/>
      <c r="R40" s="78"/>
      <c r="S40" s="78"/>
      <c r="T40" s="78"/>
      <c r="U40" s="78"/>
      <c r="V40" s="78"/>
      <c r="W40" s="78"/>
    </row>
    <row r="41" spans="1:23" s="13" customFormat="1" ht="21.75" customHeight="1">
      <c r="A41" s="7">
        <v>16</v>
      </c>
      <c r="B41" s="52" t="s">
        <v>219</v>
      </c>
      <c r="C41" s="53"/>
      <c r="D41" s="7" t="s">
        <v>114</v>
      </c>
      <c r="E41" s="36">
        <v>39600</v>
      </c>
      <c r="F41" s="38">
        <v>0.261</v>
      </c>
      <c r="G41" s="38">
        <v>0.268</v>
      </c>
      <c r="H41" s="38">
        <v>0.261</v>
      </c>
      <c r="I41" s="38">
        <v>0.268</v>
      </c>
      <c r="J41" s="38">
        <v>0.268</v>
      </c>
      <c r="K41" s="38">
        <v>0.261</v>
      </c>
      <c r="L41" s="82"/>
      <c r="M41" s="82"/>
      <c r="N41" s="82"/>
      <c r="O41" s="82"/>
      <c r="P41" s="82"/>
      <c r="Q41" s="82"/>
      <c r="R41" s="78"/>
      <c r="S41" s="78"/>
      <c r="T41" s="78"/>
      <c r="U41" s="78"/>
      <c r="V41" s="78"/>
      <c r="W41" s="78"/>
    </row>
    <row r="42" spans="1:23" s="13" customFormat="1" ht="21.75" customHeight="1">
      <c r="A42" s="153">
        <v>17</v>
      </c>
      <c r="B42" s="153" t="s">
        <v>178</v>
      </c>
      <c r="C42" s="76" t="s">
        <v>245</v>
      </c>
      <c r="D42" s="7" t="s">
        <v>67</v>
      </c>
      <c r="E42" s="36">
        <v>39295</v>
      </c>
      <c r="F42" s="39">
        <v>0.3982</v>
      </c>
      <c r="G42" s="38">
        <v>0.4542</v>
      </c>
      <c r="H42" s="38">
        <v>0.4122</v>
      </c>
      <c r="I42" s="38">
        <v>0.4794</v>
      </c>
      <c r="J42" s="38">
        <v>0.4122</v>
      </c>
      <c r="K42" s="38">
        <v>0.447</v>
      </c>
      <c r="L42" s="81">
        <f aca="true" t="shared" si="15" ref="L42:Q46">R42-F42</f>
        <v>0.056900000000000006</v>
      </c>
      <c r="M42" s="81">
        <f t="shared" si="15"/>
        <v>0.06490000000000001</v>
      </c>
      <c r="N42" s="81">
        <f t="shared" si="15"/>
        <v>0.05890000000000001</v>
      </c>
      <c r="O42" s="81">
        <f t="shared" si="15"/>
        <v>0.06850000000000006</v>
      </c>
      <c r="P42" s="81">
        <f t="shared" si="15"/>
        <v>0.05890000000000001</v>
      </c>
      <c r="Q42" s="81">
        <f t="shared" si="15"/>
        <v>0.06380000000000002</v>
      </c>
      <c r="R42" s="39">
        <v>0.4551</v>
      </c>
      <c r="S42" s="38">
        <v>0.5191</v>
      </c>
      <c r="T42" s="38">
        <v>0.4711</v>
      </c>
      <c r="U42" s="38">
        <v>0.5479</v>
      </c>
      <c r="V42" s="38">
        <v>0.4711</v>
      </c>
      <c r="W42" s="38">
        <v>0.5108</v>
      </c>
    </row>
    <row r="43" spans="1:23" s="13" customFormat="1" ht="21.75" customHeight="1">
      <c r="A43" s="153"/>
      <c r="B43" s="153"/>
      <c r="C43" s="76" t="s">
        <v>246</v>
      </c>
      <c r="D43" s="7"/>
      <c r="E43" s="36"/>
      <c r="F43" s="39">
        <v>0.3259</v>
      </c>
      <c r="G43" s="38">
        <v>0.2297</v>
      </c>
      <c r="H43" s="38">
        <v>0.3502</v>
      </c>
      <c r="I43" s="38">
        <v>0.3631</v>
      </c>
      <c r="J43" s="38">
        <v>0.3502</v>
      </c>
      <c r="K43" s="38">
        <v>0.3827</v>
      </c>
      <c r="L43" s="81">
        <f t="shared" si="15"/>
        <v>0.046499999999999986</v>
      </c>
      <c r="M43" s="81">
        <f t="shared" si="15"/>
        <v>0.03290000000000001</v>
      </c>
      <c r="N43" s="81">
        <f t="shared" si="15"/>
        <v>0.04999999999999999</v>
      </c>
      <c r="O43" s="81">
        <f t="shared" si="15"/>
        <v>0.0519</v>
      </c>
      <c r="P43" s="81">
        <f t="shared" si="15"/>
        <v>0.04999999999999999</v>
      </c>
      <c r="Q43" s="81">
        <f t="shared" si="15"/>
        <v>0.054700000000000026</v>
      </c>
      <c r="R43" s="39">
        <v>0.3724</v>
      </c>
      <c r="S43" s="38">
        <v>0.2626</v>
      </c>
      <c r="T43" s="38">
        <v>0.4002</v>
      </c>
      <c r="U43" s="38">
        <v>0.415</v>
      </c>
      <c r="V43" s="38">
        <v>0.4002</v>
      </c>
      <c r="W43" s="38">
        <v>0.4374</v>
      </c>
    </row>
    <row r="44" spans="1:23" s="13" customFormat="1" ht="21.75" customHeight="1">
      <c r="A44" s="153"/>
      <c r="B44" s="153"/>
      <c r="C44" s="76" t="s">
        <v>247</v>
      </c>
      <c r="D44" s="7"/>
      <c r="E44" s="36"/>
      <c r="F44" s="39">
        <v>0.3259</v>
      </c>
      <c r="G44" s="38">
        <v>0.2447</v>
      </c>
      <c r="H44" s="38">
        <v>0.334</v>
      </c>
      <c r="I44" s="38">
        <v>0.3583</v>
      </c>
      <c r="J44" s="38">
        <v>0.334</v>
      </c>
      <c r="K44" s="38">
        <v>0.3665</v>
      </c>
      <c r="L44" s="81">
        <f t="shared" si="15"/>
        <v>0.046499999999999986</v>
      </c>
      <c r="M44" s="81">
        <f t="shared" si="15"/>
        <v>0.034900000000000014</v>
      </c>
      <c r="N44" s="81">
        <f t="shared" si="15"/>
        <v>0.047699999999999965</v>
      </c>
      <c r="O44" s="81">
        <f t="shared" si="15"/>
        <v>0.05119999999999997</v>
      </c>
      <c r="P44" s="81">
        <f t="shared" si="15"/>
        <v>0.047699999999999965</v>
      </c>
      <c r="Q44" s="81">
        <f t="shared" si="15"/>
        <v>0.05230000000000001</v>
      </c>
      <c r="R44" s="39">
        <v>0.3724</v>
      </c>
      <c r="S44" s="38">
        <v>0.2796</v>
      </c>
      <c r="T44" s="38">
        <v>0.3817</v>
      </c>
      <c r="U44" s="38">
        <v>0.4095</v>
      </c>
      <c r="V44" s="38">
        <v>0.3817</v>
      </c>
      <c r="W44" s="38">
        <v>0.4188</v>
      </c>
    </row>
    <row r="45" spans="1:23" s="13" customFormat="1" ht="21.75" customHeight="1">
      <c r="A45" s="153"/>
      <c r="B45" s="153"/>
      <c r="C45" s="76" t="s">
        <v>248</v>
      </c>
      <c r="D45" s="7"/>
      <c r="E45" s="36"/>
      <c r="F45" s="39">
        <v>0.4332</v>
      </c>
      <c r="G45" s="38">
        <v>0.3511</v>
      </c>
      <c r="H45" s="38">
        <v>0.51</v>
      </c>
      <c r="I45" s="38">
        <v>0.5237</v>
      </c>
      <c r="J45" s="38">
        <v>0.51</v>
      </c>
      <c r="K45" s="38">
        <v>0.5167</v>
      </c>
      <c r="L45" s="81">
        <f t="shared" si="15"/>
        <v>0.03610000000000002</v>
      </c>
      <c r="M45" s="81">
        <f t="shared" si="15"/>
        <v>0.029200000000000004</v>
      </c>
      <c r="N45" s="81">
        <f t="shared" si="15"/>
        <v>0.040200000000000014</v>
      </c>
      <c r="O45" s="81">
        <f t="shared" si="15"/>
        <v>0.03759999999999997</v>
      </c>
      <c r="P45" s="81">
        <f t="shared" si="15"/>
        <v>0.040200000000000014</v>
      </c>
      <c r="Q45" s="81">
        <f t="shared" si="15"/>
        <v>0.043099999999999916</v>
      </c>
      <c r="R45" s="39">
        <v>0.4693</v>
      </c>
      <c r="S45" s="38">
        <v>0.3803</v>
      </c>
      <c r="T45" s="38">
        <v>0.5502</v>
      </c>
      <c r="U45" s="38">
        <v>0.5613</v>
      </c>
      <c r="V45" s="38">
        <v>0.5502</v>
      </c>
      <c r="W45" s="38">
        <v>0.5598</v>
      </c>
    </row>
    <row r="46" spans="1:23" s="13" customFormat="1" ht="21.75" customHeight="1">
      <c r="A46" s="153"/>
      <c r="B46" s="153"/>
      <c r="C46" s="76" t="s">
        <v>249</v>
      </c>
      <c r="D46" s="7"/>
      <c r="E46" s="36"/>
      <c r="F46" s="39">
        <v>0.4929</v>
      </c>
      <c r="G46" s="38">
        <v>0.3402</v>
      </c>
      <c r="H46" s="38">
        <v>0.4958</v>
      </c>
      <c r="I46" s="38">
        <v>0.4999</v>
      </c>
      <c r="J46" s="38">
        <v>0.4958</v>
      </c>
      <c r="K46" s="38">
        <v>0.5039</v>
      </c>
      <c r="L46" s="81">
        <f t="shared" si="15"/>
        <v>0.041100000000000025</v>
      </c>
      <c r="M46" s="81">
        <f t="shared" si="15"/>
        <v>0.02839999999999998</v>
      </c>
      <c r="N46" s="81">
        <f t="shared" si="15"/>
        <v>0.0413</v>
      </c>
      <c r="O46" s="81">
        <f t="shared" si="15"/>
        <v>0.04159999999999997</v>
      </c>
      <c r="P46" s="81">
        <f t="shared" si="15"/>
        <v>0.0413</v>
      </c>
      <c r="Q46" s="81">
        <f t="shared" si="15"/>
        <v>0.04200000000000004</v>
      </c>
      <c r="R46" s="39">
        <v>0.534</v>
      </c>
      <c r="S46" s="38">
        <v>0.3686</v>
      </c>
      <c r="T46" s="38">
        <v>0.5371</v>
      </c>
      <c r="U46" s="38">
        <v>0.5415</v>
      </c>
      <c r="V46" s="38">
        <v>0.5371</v>
      </c>
      <c r="W46" s="38">
        <v>0.5459</v>
      </c>
    </row>
    <row r="47" spans="1:23" s="13" customFormat="1" ht="21.75" customHeight="1">
      <c r="A47" s="7">
        <v>18</v>
      </c>
      <c r="B47" s="52" t="s">
        <v>221</v>
      </c>
      <c r="C47" s="53"/>
      <c r="D47" s="7" t="s">
        <v>116</v>
      </c>
      <c r="E47" s="36">
        <v>39569</v>
      </c>
      <c r="F47" s="38">
        <v>0.4725</v>
      </c>
      <c r="G47" s="38">
        <v>0.4335</v>
      </c>
      <c r="H47" s="38">
        <v>0.4725</v>
      </c>
      <c r="I47" s="38">
        <v>0.425</v>
      </c>
      <c r="J47" s="38">
        <v>0.4725</v>
      </c>
      <c r="K47" s="38">
        <v>0.5125</v>
      </c>
      <c r="L47" s="82"/>
      <c r="M47" s="82"/>
      <c r="N47" s="82"/>
      <c r="O47" s="82"/>
      <c r="P47" s="82"/>
      <c r="Q47" s="82"/>
      <c r="R47" s="78"/>
      <c r="S47" s="78"/>
      <c r="T47" s="78"/>
      <c r="U47" s="78"/>
      <c r="V47" s="78"/>
      <c r="W47" s="78"/>
    </row>
    <row r="48" spans="1:23" s="13" customFormat="1" ht="23.25" customHeight="1">
      <c r="A48" s="7">
        <v>19</v>
      </c>
      <c r="B48" s="52" t="s">
        <v>214</v>
      </c>
      <c r="C48" s="53"/>
      <c r="D48" s="7" t="s">
        <v>36</v>
      </c>
      <c r="E48" s="36">
        <v>37257</v>
      </c>
      <c r="F48" s="38">
        <v>0.675</v>
      </c>
      <c r="G48" s="38">
        <v>0.5738</v>
      </c>
      <c r="H48" s="38">
        <v>0.675</v>
      </c>
      <c r="I48" s="38">
        <v>0.615</v>
      </c>
      <c r="J48" s="38">
        <v>0.675</v>
      </c>
      <c r="K48" s="38">
        <v>0.675</v>
      </c>
      <c r="L48" s="82"/>
      <c r="M48" s="82"/>
      <c r="N48" s="82"/>
      <c r="O48" s="82"/>
      <c r="P48" s="82"/>
      <c r="Q48" s="82"/>
      <c r="R48" s="78"/>
      <c r="S48" s="78"/>
      <c r="T48" s="78"/>
      <c r="U48" s="78"/>
      <c r="V48" s="78"/>
      <c r="W48" s="78"/>
    </row>
    <row r="49" spans="1:23" s="13" customFormat="1" ht="21.75" customHeight="1">
      <c r="A49" s="7">
        <v>20</v>
      </c>
      <c r="B49" s="52" t="s">
        <v>226</v>
      </c>
      <c r="C49" s="53"/>
      <c r="D49" s="7" t="s">
        <v>82</v>
      </c>
      <c r="E49" s="36">
        <v>39264</v>
      </c>
      <c r="F49" s="38">
        <v>0.5675</v>
      </c>
      <c r="G49" s="38">
        <v>0.456</v>
      </c>
      <c r="H49" s="38">
        <v>0.5675</v>
      </c>
      <c r="I49" s="38">
        <v>0.57</v>
      </c>
      <c r="J49" s="38">
        <v>0.5675</v>
      </c>
      <c r="K49" s="38">
        <v>0.5675</v>
      </c>
      <c r="L49" s="81">
        <f aca="true" t="shared" si="16" ref="L49:Q49">R49-F49</f>
        <v>0.12649999999999995</v>
      </c>
      <c r="M49" s="81">
        <f t="shared" si="16"/>
        <v>0.1174</v>
      </c>
      <c r="N49" s="81">
        <f t="shared" si="16"/>
        <v>0.12649999999999995</v>
      </c>
      <c r="O49" s="81">
        <f t="shared" si="16"/>
        <v>0.125</v>
      </c>
      <c r="P49" s="81">
        <f t="shared" si="16"/>
        <v>0.12649999999999995</v>
      </c>
      <c r="Q49" s="81">
        <f t="shared" si="16"/>
        <v>0.12649999999999995</v>
      </c>
      <c r="R49" s="38">
        <v>0.694</v>
      </c>
      <c r="S49" s="38">
        <v>0.5734</v>
      </c>
      <c r="T49" s="38">
        <v>0.694</v>
      </c>
      <c r="U49" s="38">
        <v>0.695</v>
      </c>
      <c r="V49" s="38">
        <v>0.694</v>
      </c>
      <c r="W49" s="38">
        <v>0.694</v>
      </c>
    </row>
    <row r="50" spans="1:23" s="13" customFormat="1" ht="21.75" customHeight="1">
      <c r="A50" s="7">
        <v>21</v>
      </c>
      <c r="B50" s="52" t="s">
        <v>224</v>
      </c>
      <c r="C50" s="53"/>
      <c r="D50" s="7" t="s">
        <v>84</v>
      </c>
      <c r="E50" s="36">
        <v>39234</v>
      </c>
      <c r="F50" s="38">
        <v>1.29</v>
      </c>
      <c r="G50" s="38">
        <v>0.94</v>
      </c>
      <c r="H50" s="38">
        <v>1.29</v>
      </c>
      <c r="I50" s="38">
        <v>1.22</v>
      </c>
      <c r="J50" s="38">
        <v>1.29</v>
      </c>
      <c r="K50" s="38">
        <v>1.29</v>
      </c>
      <c r="L50" s="82"/>
      <c r="M50" s="82"/>
      <c r="N50" s="82"/>
      <c r="O50" s="82"/>
      <c r="P50" s="82"/>
      <c r="Q50" s="82"/>
      <c r="R50" s="78"/>
      <c r="S50" s="78"/>
      <c r="T50" s="78"/>
      <c r="U50" s="78"/>
      <c r="V50" s="78"/>
      <c r="W50" s="78"/>
    </row>
    <row r="51" spans="1:23" s="13" customFormat="1" ht="21.75" customHeight="1">
      <c r="A51" s="7">
        <v>22</v>
      </c>
      <c r="B51" s="52" t="s">
        <v>225</v>
      </c>
      <c r="C51" s="53"/>
      <c r="D51" s="7" t="s">
        <v>120</v>
      </c>
      <c r="E51" s="36">
        <v>39600</v>
      </c>
      <c r="F51" s="38">
        <v>1.25</v>
      </c>
      <c r="G51" s="38">
        <v>1.06</v>
      </c>
      <c r="H51" s="38">
        <v>1.25</v>
      </c>
      <c r="I51" s="38">
        <v>1.12</v>
      </c>
      <c r="J51" s="38">
        <v>1.25</v>
      </c>
      <c r="K51" s="38">
        <v>1.25</v>
      </c>
      <c r="L51" s="82"/>
      <c r="M51" s="82"/>
      <c r="N51" s="82"/>
      <c r="O51" s="82"/>
      <c r="P51" s="82"/>
      <c r="Q51" s="82"/>
      <c r="R51" s="78"/>
      <c r="S51" s="78"/>
      <c r="T51" s="78"/>
      <c r="U51" s="78"/>
      <c r="V51" s="78"/>
      <c r="W51" s="78"/>
    </row>
    <row r="52" spans="1:23" s="13" customFormat="1" ht="57.75" customHeight="1">
      <c r="A52" s="147" t="s">
        <v>85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9"/>
      <c r="L52" s="83"/>
      <c r="M52" s="83"/>
      <c r="N52" s="83"/>
      <c r="O52" s="83"/>
      <c r="P52" s="83"/>
      <c r="Q52" s="83"/>
      <c r="R52" s="73"/>
      <c r="S52" s="73"/>
      <c r="T52" s="73"/>
      <c r="U52" s="73"/>
      <c r="V52" s="73"/>
      <c r="W52" s="73"/>
    </row>
    <row r="60" ht="14.25" customHeight="1"/>
    <row r="61" ht="14.25" customHeight="1"/>
    <row r="62" ht="14.25" customHeight="1"/>
    <row r="63" ht="14.25" customHeight="1"/>
    <row r="64" ht="14.25" customHeight="1"/>
    <row r="65" ht="15" customHeight="1"/>
    <row r="66" ht="12.75" thickBot="1"/>
    <row r="67" spans="4:9" ht="14.25" customHeight="1">
      <c r="D67" s="164"/>
      <c r="E67" s="135"/>
      <c r="F67" s="164"/>
      <c r="G67" s="164"/>
      <c r="H67" s="164"/>
      <c r="I67" s="26"/>
    </row>
    <row r="68" spans="4:9" ht="14.25" customHeight="1">
      <c r="D68" s="165"/>
      <c r="E68" s="136"/>
      <c r="F68" s="165"/>
      <c r="G68" s="165"/>
      <c r="H68" s="165"/>
      <c r="I68" s="26"/>
    </row>
    <row r="69" spans="4:9" ht="14.25" customHeight="1">
      <c r="D69" s="165"/>
      <c r="E69" s="136"/>
      <c r="F69" s="165"/>
      <c r="G69" s="165"/>
      <c r="H69" s="165"/>
      <c r="I69" s="26"/>
    </row>
    <row r="70" spans="4:9" ht="14.25" customHeight="1">
      <c r="D70" s="165"/>
      <c r="E70" s="136"/>
      <c r="F70" s="165"/>
      <c r="G70" s="165"/>
      <c r="H70" s="165"/>
      <c r="I70" s="26"/>
    </row>
    <row r="71" spans="4:9" ht="14.25" customHeight="1">
      <c r="D71" s="165"/>
      <c r="E71" s="136"/>
      <c r="F71" s="165"/>
      <c r="G71" s="165"/>
      <c r="H71" s="165"/>
      <c r="I71" s="26"/>
    </row>
    <row r="72" spans="4:9" ht="15" customHeight="1" thickBot="1">
      <c r="D72" s="166"/>
      <c r="E72" s="137"/>
      <c r="F72" s="166"/>
      <c r="G72" s="166"/>
      <c r="H72" s="166"/>
      <c r="I72" s="26"/>
    </row>
  </sheetData>
  <sheetProtection/>
  <mergeCells count="45">
    <mergeCell ref="A52:K52"/>
    <mergeCell ref="D67:D72"/>
    <mergeCell ref="E67:E72"/>
    <mergeCell ref="F67:F72"/>
    <mergeCell ref="G67:G72"/>
    <mergeCell ref="H67:H72"/>
    <mergeCell ref="R3:W3"/>
    <mergeCell ref="E3:E4"/>
    <mergeCell ref="F3:K3"/>
    <mergeCell ref="B25:B29"/>
    <mergeCell ref="B2:C4"/>
    <mergeCell ref="D2:K2"/>
    <mergeCell ref="D3:D4"/>
    <mergeCell ref="B19:B24"/>
    <mergeCell ref="B10:B17"/>
    <mergeCell ref="B5:B7"/>
    <mergeCell ref="A1:W1"/>
    <mergeCell ref="B42:B46"/>
    <mergeCell ref="A42:A46"/>
    <mergeCell ref="A31:A34"/>
    <mergeCell ref="B30:C30"/>
    <mergeCell ref="B35:C35"/>
    <mergeCell ref="B36:C36"/>
    <mergeCell ref="L2:Q2"/>
    <mergeCell ref="L3:Q3"/>
    <mergeCell ref="R2:W2"/>
    <mergeCell ref="B18:C18"/>
    <mergeCell ref="A5:A7"/>
    <mergeCell ref="A2:A4"/>
    <mergeCell ref="B48:C48"/>
    <mergeCell ref="A25:A29"/>
    <mergeCell ref="B31:B34"/>
    <mergeCell ref="A19:A24"/>
    <mergeCell ref="A10:A17"/>
    <mergeCell ref="B8:C8"/>
    <mergeCell ref="B9:C9"/>
    <mergeCell ref="B50:C50"/>
    <mergeCell ref="B51:C51"/>
    <mergeCell ref="B37:C37"/>
    <mergeCell ref="B38:C38"/>
    <mergeCell ref="B39:C39"/>
    <mergeCell ref="B40:C40"/>
    <mergeCell ref="B41:C41"/>
    <mergeCell ref="B47:C47"/>
    <mergeCell ref="B49:C49"/>
  </mergeCells>
  <printOptions/>
  <pageMargins left="0.4" right="0.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User</cp:lastModifiedBy>
  <cp:lastPrinted>2008-09-03T07:32:37Z</cp:lastPrinted>
  <dcterms:created xsi:type="dcterms:W3CDTF">2007-04-03T02:29:14Z</dcterms:created>
  <dcterms:modified xsi:type="dcterms:W3CDTF">2008-09-03T07:32:39Z</dcterms:modified>
  <cp:category/>
  <cp:version/>
  <cp:contentType/>
  <cp:contentStatus/>
</cp:coreProperties>
</file>